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285ED651-0197-4599-89E2-B8A62496BCCA}" xr6:coauthVersionLast="47" xr6:coauthVersionMax="47" xr10:uidLastSave="{00000000-0000-0000-0000-000000000000}"/>
  <bookViews>
    <workbookView xWindow="-120" yWindow="-120" windowWidth="29040" windowHeight="15720" tabRatio="830" activeTab="3" xr2:uid="{00000000-000D-0000-FFFF-FFFF00000000}"/>
  </bookViews>
  <sheets>
    <sheet name="Fixed fee-Illustration" sheetId="17" r:id="rId1"/>
    <sheet name="Semi variable fee-Illustration" sheetId="21" r:id="rId2"/>
    <sheet name="Fully variable fee-Illustration" sheetId="22" r:id="rId3"/>
    <sheet name="Semi variable fee-Illustration1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7" l="1"/>
  <c r="H30" i="27"/>
  <c r="F30" i="27"/>
  <c r="H30" i="22"/>
  <c r="F30" i="22"/>
  <c r="H30" i="21"/>
  <c r="F30" i="21"/>
  <c r="N26" i="27" l="1"/>
  <c r="F14" i="27"/>
  <c r="B39" i="27"/>
  <c r="B40" i="27" s="1"/>
  <c r="B41" i="27" s="1"/>
  <c r="B42" i="27" s="1"/>
  <c r="H31" i="27"/>
  <c r="F13" i="27"/>
  <c r="J26" i="22"/>
  <c r="B39" i="22"/>
  <c r="B40" i="22" s="1"/>
  <c r="B41" i="22" s="1"/>
  <c r="B42" i="22" s="1"/>
  <c r="B39" i="21"/>
  <c r="B40" i="21" s="1"/>
  <c r="B41" i="21" s="1"/>
  <c r="B42" i="21" s="1"/>
  <c r="H31" i="22"/>
  <c r="F13" i="22"/>
  <c r="H31" i="21"/>
  <c r="F13" i="21"/>
  <c r="J26" i="21" s="1"/>
  <c r="F28" i="27" l="1"/>
  <c r="F29" i="27" s="1"/>
  <c r="F31" i="27" s="1"/>
  <c r="F15" i="27"/>
  <c r="F14" i="22"/>
  <c r="F15" i="22"/>
  <c r="F14" i="21"/>
  <c r="F15" i="21" s="1"/>
  <c r="F17" i="21" s="1"/>
  <c r="F17" i="27" l="1"/>
  <c r="F28" i="22"/>
  <c r="F29" i="22" s="1"/>
  <c r="F31" i="22" s="1"/>
  <c r="F17" i="22"/>
  <c r="F19" i="21"/>
  <c r="F20" i="21"/>
  <c r="F28" i="21"/>
  <c r="F29" i="21" s="1"/>
  <c r="F19" i="27" l="1"/>
  <c r="F20" i="27"/>
  <c r="F19" i="22"/>
  <c r="F21" i="22" s="1"/>
  <c r="F20" i="22"/>
  <c r="F31" i="21"/>
  <c r="F21" i="21"/>
  <c r="F22" i="21" s="1"/>
  <c r="F24" i="21" s="1"/>
  <c r="F33" i="21" s="1"/>
  <c r="F21" i="27" l="1"/>
  <c r="F22" i="27" s="1"/>
  <c r="F24" i="27" s="1"/>
  <c r="F33" i="27" s="1"/>
  <c r="F22" i="22"/>
  <c r="F24" i="22" s="1"/>
  <c r="F33" i="22" s="1"/>
  <c r="F34" i="21"/>
  <c r="H13" i="21"/>
  <c r="H13" i="27" l="1"/>
  <c r="F34" i="27"/>
  <c r="F34" i="22"/>
  <c r="H13" i="22"/>
  <c r="H14" i="21"/>
  <c r="H15" i="21" s="1"/>
  <c r="H14" i="27" l="1"/>
  <c r="H15" i="27"/>
  <c r="H28" i="27" s="1"/>
  <c r="H14" i="22"/>
  <c r="H15" i="22" s="1"/>
  <c r="H17" i="21"/>
  <c r="H28" i="21"/>
  <c r="H17" i="27" l="1"/>
  <c r="H17" i="22"/>
  <c r="H28" i="22"/>
  <c r="H20" i="21"/>
  <c r="H19" i="21"/>
  <c r="H19" i="27" l="1"/>
  <c r="H20" i="27"/>
  <c r="H19" i="22"/>
  <c r="H20" i="22"/>
  <c r="H21" i="21"/>
  <c r="H22" i="21"/>
  <c r="H24" i="21" s="1"/>
  <c r="H33" i="21" s="1"/>
  <c r="H21" i="27" l="1"/>
  <c r="H22" i="27" s="1"/>
  <c r="H24" i="27" s="1"/>
  <c r="H33" i="27" s="1"/>
  <c r="H21" i="22"/>
  <c r="H22" i="22" s="1"/>
  <c r="H24" i="22" s="1"/>
  <c r="H33" i="22" s="1"/>
  <c r="H34" i="21"/>
  <c r="J13" i="21"/>
  <c r="H34" i="27" l="1"/>
  <c r="J13" i="27"/>
  <c r="H34" i="22"/>
  <c r="J13" i="22"/>
  <c r="J14" i="21"/>
  <c r="J15" i="21" s="1"/>
  <c r="J14" i="27" l="1"/>
  <c r="J15" i="27" s="1"/>
  <c r="J28" i="27" s="1"/>
  <c r="J14" i="22"/>
  <c r="J15" i="22" s="1"/>
  <c r="J17" i="21"/>
  <c r="J17" i="27" l="1"/>
  <c r="J17" i="22"/>
  <c r="J19" i="21"/>
  <c r="J20" i="21"/>
  <c r="J19" i="27" l="1"/>
  <c r="J20" i="27"/>
  <c r="J21" i="27"/>
  <c r="J20" i="22"/>
  <c r="J19" i="22"/>
  <c r="J21" i="21"/>
  <c r="J22" i="21" s="1"/>
  <c r="J24" i="21" s="1"/>
  <c r="J28" i="21" s="1"/>
  <c r="J21" i="22" l="1"/>
  <c r="J22" i="27"/>
  <c r="J24" i="27" s="1"/>
  <c r="J29" i="21"/>
  <c r="J25" i="21"/>
  <c r="J22" i="22"/>
  <c r="J24" i="22" s="1"/>
  <c r="B26" i="17"/>
  <c r="B27" i="17" s="1"/>
  <c r="B28" i="17" s="1"/>
  <c r="B29" i="17" s="1"/>
  <c r="B30" i="17" s="1"/>
  <c r="J10" i="17"/>
  <c r="J11" i="17" s="1"/>
  <c r="H10" i="17"/>
  <c r="H11" i="17" s="1"/>
  <c r="H12" i="17" s="1"/>
  <c r="F10" i="17"/>
  <c r="F11" i="17" s="1"/>
  <c r="F12" i="17" s="1"/>
  <c r="J28" i="22" l="1"/>
  <c r="J29" i="22" s="1"/>
  <c r="J30" i="22" s="1"/>
  <c r="J25" i="22"/>
  <c r="J31" i="21"/>
  <c r="J30" i="21"/>
  <c r="J29" i="27"/>
  <c r="J31" i="27" s="1"/>
  <c r="J30" i="27" s="1"/>
  <c r="J31" i="22"/>
  <c r="J33" i="21"/>
  <c r="J34" i="21" s="1"/>
  <c r="F14" i="17"/>
  <c r="H14" i="17"/>
  <c r="J12" i="17"/>
  <c r="J14" i="17" s="1"/>
  <c r="J33" i="22" l="1"/>
  <c r="J33" i="27"/>
  <c r="L13" i="21"/>
  <c r="P26" i="21" s="1"/>
  <c r="J36" i="21"/>
  <c r="J17" i="17"/>
  <c r="J16" i="17"/>
  <c r="J18" i="17" s="1"/>
  <c r="H17" i="17"/>
  <c r="H16" i="17"/>
  <c r="F17" i="17"/>
  <c r="F16" i="17"/>
  <c r="J36" i="22" l="1"/>
  <c r="J34" i="22"/>
  <c r="J34" i="27"/>
  <c r="L13" i="27"/>
  <c r="L14" i="21"/>
  <c r="L15" i="21" s="1"/>
  <c r="L28" i="21" s="1"/>
  <c r="L29" i="21" s="1"/>
  <c r="L13" i="22"/>
  <c r="H18" i="17"/>
  <c r="H19" i="17" s="1"/>
  <c r="H21" i="17" s="1"/>
  <c r="H22" i="17" s="1"/>
  <c r="J19" i="17"/>
  <c r="J21" i="17" s="1"/>
  <c r="J22" i="17" s="1"/>
  <c r="F18" i="17"/>
  <c r="F19" i="17" s="1"/>
  <c r="F21" i="17" s="1"/>
  <c r="F22" i="17" s="1"/>
  <c r="L14" i="27" l="1"/>
  <c r="L15" i="27" s="1"/>
  <c r="L28" i="27" s="1"/>
  <c r="L17" i="21"/>
  <c r="L19" i="21" s="1"/>
  <c r="P26" i="22"/>
  <c r="L14" i="22"/>
  <c r="L15" i="22" s="1"/>
  <c r="L28" i="22" s="1"/>
  <c r="L29" i="22" s="1"/>
  <c r="L31" i="22" s="1"/>
  <c r="L30" i="22" s="1"/>
  <c r="L31" i="21"/>
  <c r="L30" i="21" s="1"/>
  <c r="L29" i="27" l="1"/>
  <c r="L31" i="27" s="1"/>
  <c r="L30" i="27" s="1"/>
  <c r="L17" i="27"/>
  <c r="L20" i="27" s="1"/>
  <c r="L20" i="21"/>
  <c r="L21" i="21" s="1"/>
  <c r="L22" i="21" s="1"/>
  <c r="L24" i="21" s="1"/>
  <c r="L33" i="21" s="1"/>
  <c r="L17" i="22"/>
  <c r="L19" i="27" l="1"/>
  <c r="L21" i="27" s="1"/>
  <c r="L22" i="27" s="1"/>
  <c r="L24" i="27" s="1"/>
  <c r="L33" i="27" s="1"/>
  <c r="L19" i="22"/>
  <c r="L20" i="22"/>
  <c r="N13" i="21"/>
  <c r="L34" i="21"/>
  <c r="L34" i="27" l="1"/>
  <c r="N13" i="27"/>
  <c r="L21" i="22"/>
  <c r="L22" i="22"/>
  <c r="L24" i="22" s="1"/>
  <c r="L33" i="22" s="1"/>
  <c r="N14" i="21"/>
  <c r="N15" i="21" s="1"/>
  <c r="N14" i="27" l="1"/>
  <c r="N15" i="27" s="1"/>
  <c r="L34" i="22"/>
  <c r="N13" i="22"/>
  <c r="N28" i="21"/>
  <c r="N29" i="21" s="1"/>
  <c r="N17" i="21"/>
  <c r="N17" i="27" l="1"/>
  <c r="N19" i="27" s="1"/>
  <c r="N14" i="22"/>
  <c r="N15" i="22" s="1"/>
  <c r="N31" i="21"/>
  <c r="N30" i="21" s="1"/>
  <c r="N20" i="21"/>
  <c r="N19" i="21"/>
  <c r="N20" i="27" l="1"/>
  <c r="N21" i="27"/>
  <c r="N22" i="27" s="1"/>
  <c r="N24" i="27" s="1"/>
  <c r="N17" i="22"/>
  <c r="N28" i="22"/>
  <c r="N29" i="22" s="1"/>
  <c r="N31" i="22" s="1"/>
  <c r="N30" i="22" s="1"/>
  <c r="N21" i="21"/>
  <c r="N22" i="21" s="1"/>
  <c r="N24" i="21" s="1"/>
  <c r="N33" i="21" s="1"/>
  <c r="N25" i="27" l="1"/>
  <c r="N28" i="27"/>
  <c r="N29" i="27" s="1"/>
  <c r="N19" i="22"/>
  <c r="N20" i="22"/>
  <c r="N34" i="21"/>
  <c r="P13" i="21"/>
  <c r="N31" i="27" l="1"/>
  <c r="N30" i="27"/>
  <c r="N33" i="27"/>
  <c r="P13" i="27" s="1"/>
  <c r="X26" i="27" s="1"/>
  <c r="N21" i="22"/>
  <c r="N22" i="22" s="1"/>
  <c r="N24" i="22" s="1"/>
  <c r="N33" i="22" s="1"/>
  <c r="P14" i="21"/>
  <c r="P15" i="21" s="1"/>
  <c r="P14" i="27" l="1"/>
  <c r="P15" i="27" s="1"/>
  <c r="P29" i="27" s="1"/>
  <c r="N34" i="27"/>
  <c r="N36" i="27"/>
  <c r="N34" i="22"/>
  <c r="P13" i="22"/>
  <c r="P17" i="21"/>
  <c r="P17" i="27" l="1"/>
  <c r="P19" i="27" s="1"/>
  <c r="P14" i="22"/>
  <c r="P15" i="22" s="1"/>
  <c r="P20" i="21"/>
  <c r="P19" i="21"/>
  <c r="P20" i="27" l="1"/>
  <c r="P21" i="27" s="1"/>
  <c r="P22" i="27" s="1"/>
  <c r="P24" i="27" s="1"/>
  <c r="P17" i="22"/>
  <c r="P21" i="21"/>
  <c r="P22" i="21" s="1"/>
  <c r="P24" i="21" s="1"/>
  <c r="P28" i="21" s="1"/>
  <c r="P29" i="21" s="1"/>
  <c r="P33" i="21" l="1"/>
  <c r="P36" i="21" s="1"/>
  <c r="P30" i="21"/>
  <c r="P31" i="27"/>
  <c r="P31" i="21"/>
  <c r="P25" i="21"/>
  <c r="P19" i="22"/>
  <c r="P20" i="22"/>
  <c r="P33" i="27" l="1"/>
  <c r="R13" i="27" s="1"/>
  <c r="R14" i="27" s="1"/>
  <c r="P21" i="22"/>
  <c r="P22" i="22" s="1"/>
  <c r="P24" i="22" s="1"/>
  <c r="R15" i="27" l="1"/>
  <c r="R17" i="27" s="1"/>
  <c r="P34" i="27"/>
  <c r="P34" i="21"/>
  <c r="P28" i="22"/>
  <c r="P29" i="22" s="1"/>
  <c r="P25" i="22"/>
  <c r="P31" i="22" l="1"/>
  <c r="P30" i="22"/>
  <c r="R28" i="27"/>
  <c r="R20" i="27"/>
  <c r="R19" i="27"/>
  <c r="P33" i="22"/>
  <c r="R21" i="27" l="1"/>
  <c r="R22" i="27" s="1"/>
  <c r="R24" i="27" s="1"/>
  <c r="P36" i="22"/>
  <c r="P34" i="22"/>
  <c r="R29" i="27" l="1"/>
  <c r="R31" i="27" s="1"/>
  <c r="R30" i="27" s="1"/>
  <c r="R33" i="27" l="1"/>
  <c r="T13" i="27" s="1"/>
  <c r="R34" i="27" l="1"/>
  <c r="T14" i="27"/>
  <c r="T15" i="27" s="1"/>
  <c r="T17" i="27" s="1"/>
  <c r="T28" i="27" l="1"/>
  <c r="T19" i="27"/>
  <c r="T20" i="27"/>
  <c r="T21" i="27" l="1"/>
  <c r="T22" i="27" s="1"/>
  <c r="T24" i="27" s="1"/>
  <c r="T29" i="27" l="1"/>
  <c r="T31" i="27" s="1"/>
  <c r="T30" i="27" s="1"/>
  <c r="T33" i="27" l="1"/>
  <c r="V13" i="27" l="1"/>
  <c r="T34" i="27"/>
  <c r="V14" i="27" l="1"/>
  <c r="V15" i="27" s="1"/>
  <c r="V17" i="27" s="1"/>
  <c r="V19" i="27" s="1"/>
  <c r="V20" i="27" l="1"/>
  <c r="V21" i="27" s="1"/>
  <c r="V22" i="27" s="1"/>
  <c r="V24" i="27" s="1"/>
  <c r="V28" i="27"/>
  <c r="V29" i="27" l="1"/>
  <c r="V31" i="27" s="1"/>
  <c r="V30" i="27" s="1"/>
  <c r="V33" i="27" l="1"/>
  <c r="X13" i="27" l="1"/>
  <c r="X14" i="27" s="1"/>
  <c r="X15" i="27" s="1"/>
  <c r="X17" i="27" s="1"/>
  <c r="V34" i="27"/>
  <c r="X19" i="27" l="1"/>
  <c r="X20" i="27"/>
  <c r="X21" i="27" l="1"/>
  <c r="X22" i="27" s="1"/>
  <c r="X24" i="27" s="1"/>
  <c r="X28" i="27" l="1"/>
  <c r="X29" i="27" s="1"/>
  <c r="X25" i="27"/>
  <c r="X31" i="27" l="1"/>
  <c r="X30" i="27" s="1"/>
  <c r="X33" i="27"/>
  <c r="X36" i="27" s="1"/>
  <c r="X34" i="27" l="1"/>
</calcChain>
</file>

<file path=xl/sharedStrings.xml><?xml version="1.0" encoding="utf-8"?>
<sst xmlns="http://schemas.openxmlformats.org/spreadsheetml/2006/main" count="338" uniqueCount="98">
  <si>
    <t>Assumptions</t>
  </si>
  <si>
    <t>Management Fee (%age per annum)</t>
  </si>
  <si>
    <t>Capital Contribution (Rs.)</t>
  </si>
  <si>
    <t>Gain of</t>
  </si>
  <si>
    <t>Loss of</t>
  </si>
  <si>
    <t>No Change</t>
  </si>
  <si>
    <t>Other Expenses (%age per annum)</t>
  </si>
  <si>
    <t xml:space="preserve">Gross Value of the Portfolio at the end of the year </t>
  </si>
  <si>
    <t xml:space="preserve">Total charges during the year </t>
  </si>
  <si>
    <t xml:space="preserve">Net value of the Portfolio at the end of the year </t>
  </si>
  <si>
    <t xml:space="preserve">% Portfolio Return </t>
  </si>
  <si>
    <t xml:space="preserve">Capital Contributed / Assets under Management </t>
  </si>
  <si>
    <t>Scenario 1</t>
  </si>
  <si>
    <t>Scenario 2</t>
  </si>
  <si>
    <t>Scenario 3</t>
  </si>
  <si>
    <t>a</t>
  </si>
  <si>
    <t>b</t>
  </si>
  <si>
    <t>c</t>
  </si>
  <si>
    <t xml:space="preserve">Daily Weighted Average assets under management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</si>
  <si>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</si>
  <si>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</si>
  <si>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</si>
  <si>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</si>
  <si>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</si>
  <si>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</si>
  <si>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</si>
  <si>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</si>
  <si>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</si>
  <si>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</si>
  <si>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i = a</t>
  </si>
  <si>
    <t>ii= i*Scenario</t>
  </si>
  <si>
    <t>iii= I + ii</t>
  </si>
  <si>
    <t>iv= (i + iii) / 2</t>
  </si>
  <si>
    <t xml:space="preserve">Gain / (Loss) on Investment based on the Scenario </t>
  </si>
  <si>
    <t>Other Expense</t>
  </si>
  <si>
    <t xml:space="preserve">Management Fees </t>
  </si>
  <si>
    <t>Fixed Fee Illustraion</t>
  </si>
  <si>
    <t xml:space="preserve">Other Expenses </t>
  </si>
  <si>
    <t>Performance (%age per annum)</t>
  </si>
  <si>
    <t>Hurdle Rate of Return (%age per annum)</t>
  </si>
  <si>
    <t>d</t>
  </si>
  <si>
    <t>e</t>
  </si>
  <si>
    <t>xi</t>
  </si>
  <si>
    <t>xii</t>
  </si>
  <si>
    <t>xiii</t>
  </si>
  <si>
    <t>xiv</t>
  </si>
  <si>
    <t>xvi</t>
  </si>
  <si>
    <t>Net value of the Portfolio at the end of the year after all fees and expenses</t>
  </si>
  <si>
    <t>v= iv x c</t>
  </si>
  <si>
    <t>Brokerage and Transaction cost</t>
  </si>
  <si>
    <t>vi = (iv x d)</t>
  </si>
  <si>
    <t>vii = (iv + v + vi) x b</t>
  </si>
  <si>
    <t>viii = v + vi + vii</t>
  </si>
  <si>
    <t>Returns are assumed to be generated linearly through the year.</t>
  </si>
  <si>
    <t xml:space="preserve">Brokerage and transaction cost for the illustration purpose is charged on the Average AUM. However, Brokerage and Transaction cost are charged on basis the actuals trades. </t>
  </si>
  <si>
    <t xml:space="preserve">Average assets under management </t>
  </si>
  <si>
    <t>f</t>
  </si>
  <si>
    <t>vi= iv x f</t>
  </si>
  <si>
    <t>ix = iii + viii</t>
  </si>
  <si>
    <t>x = ((ix - i) / i) %</t>
  </si>
  <si>
    <t>xi = i x e</t>
  </si>
  <si>
    <t>High Water Mark Value (HWM) (Capital contributed for 1st year and second year onwards as defined in the PMS agreement.</t>
  </si>
  <si>
    <t>xvii</t>
  </si>
  <si>
    <t xml:space="preserve">Notes: </t>
  </si>
  <si>
    <t>Gain / (Loss)</t>
  </si>
  <si>
    <t>Variables can be changed</t>
  </si>
  <si>
    <t>xix</t>
  </si>
  <si>
    <t>xviii</t>
  </si>
  <si>
    <t>Is the Performance Fee charged?</t>
  </si>
  <si>
    <t>Profit Share To be taken by PMS</t>
  </si>
  <si>
    <t>Profit share of the PMS</t>
  </si>
  <si>
    <t xml:space="preserve">Hurdle Rate of return </t>
  </si>
  <si>
    <t>Portfolio value in excess of Hurdle Rate Return</t>
  </si>
  <si>
    <t xml:space="preserve">Capital Contributed /Assets under Management </t>
  </si>
  <si>
    <t>Fees</t>
  </si>
  <si>
    <t>Total charges during the year (Sum of v, vi and vii)</t>
  </si>
  <si>
    <t xml:space="preserve">Value of the Portfolio before Performance fee </t>
  </si>
  <si>
    <t>Other Expenses includes  Fund Accounting charges / Custody Fee / demat charges or other miscellaneous expense</t>
  </si>
  <si>
    <t>All Fees and charges are subject to 18% GST.</t>
  </si>
  <si>
    <t>NA</t>
  </si>
  <si>
    <t>In the illustration, Management fee is assumed to be charged annually. However, the Portfolio Manager  charges fee on a Quarterly basis as defined in the PMS agreement &amp; as permitted under SEBI regulations.</t>
  </si>
  <si>
    <t>In the illustration, Management fee is assumed to be charged annually. However, the Portfolio Manager charges fee on a Quarterly basis as defined in the PMS agreement &amp; as permitted under SEBI regulations.</t>
  </si>
  <si>
    <t xml:space="preserve">Portfolio Manager charges Management Fee on Average portfolio value for the management fee period as defined in the PMS agreement. </t>
  </si>
  <si>
    <t>Sr No</t>
  </si>
  <si>
    <t>Year 2</t>
  </si>
  <si>
    <t>Year 3</t>
  </si>
  <si>
    <t>Year 4</t>
  </si>
  <si>
    <t>Year 5</t>
  </si>
  <si>
    <t>Year 6</t>
  </si>
  <si>
    <t>Year 1</t>
  </si>
  <si>
    <t>Notes</t>
  </si>
  <si>
    <t>High Water Mark to be carried forward for next billing cycle</t>
  </si>
  <si>
    <t>Year 7</t>
  </si>
  <si>
    <t>Year 8</t>
  </si>
  <si>
    <t>Year 9</t>
  </si>
  <si>
    <t>Year 10</t>
  </si>
  <si>
    <t>Performance fee is calculated at the end of every 36 months &amp; not annually. All Fees and charges are subject to 18% GST.</t>
  </si>
  <si>
    <t>Performance fee is calculated at the end of every 60 months &amp; not annually. All Fees and charges are subject to 18%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</si>
</sst>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[Red]\-#,##0.00\ 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8D8D8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3" fillId="0" borderId="16" xfId="0" applyFont="1" applyBorder="1" applyAlignment="1">
      <alignment vertical="center"/>
    </xf>
    <xf numFmtId="10" fontId="0" fillId="0" borderId="5" xfId="0" applyNumberForma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9" fontId="2" fillId="0" borderId="6" xfId="0" applyNumberFormat="1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9" fontId="2" fillId="0" borderId="28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right" vertical="center"/>
    </xf>
    <xf numFmtId="9" fontId="5" fillId="2" borderId="33" xfId="0" applyNumberFormat="1" applyFont="1" applyFill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9" fontId="5" fillId="2" borderId="34" xfId="0" applyNumberFormat="1" applyFont="1" applyFill="1" applyBorder="1" applyAlignment="1">
      <alignment horizontal="left" vertical="center"/>
    </xf>
    <xf numFmtId="9" fontId="5" fillId="2" borderId="35" xfId="0" applyNumberFormat="1" applyFont="1" applyFill="1" applyBorder="1" applyAlignment="1">
      <alignment horizontal="left" vertical="center"/>
    </xf>
    <xf numFmtId="9" fontId="5" fillId="2" borderId="38" xfId="0" applyNumberFormat="1" applyFont="1" applyFill="1" applyBorder="1" applyAlignment="1">
      <alignment horizontal="left" vertical="center"/>
    </xf>
    <xf numFmtId="0" fontId="3" fillId="0" borderId="40" xfId="0" applyFont="1" applyBorder="1" applyAlignment="1">
      <alignment vertical="center"/>
    </xf>
    <xf numFmtId="0" fontId="0" fillId="0" borderId="14" xfId="0" applyBorder="1"/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6" xfId="0" applyBorder="1"/>
    <xf numFmtId="0" fontId="0" fillId="0" borderId="47" xfId="0" applyBorder="1"/>
    <xf numFmtId="0" fontId="3" fillId="0" borderId="4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3" fillId="0" borderId="52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9" fontId="5" fillId="2" borderId="27" xfId="0" applyNumberFormat="1" applyFont="1" applyFill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9" fontId="5" fillId="2" borderId="30" xfId="0" applyNumberFormat="1" applyFont="1" applyFill="1" applyBorder="1" applyAlignment="1">
      <alignment horizontal="left" vertical="center"/>
    </xf>
    <xf numFmtId="9" fontId="5" fillId="2" borderId="5" xfId="0" applyNumberFormat="1" applyFont="1" applyFill="1" applyBorder="1" applyAlignment="1">
      <alignment horizontal="left" vertical="center"/>
    </xf>
    <xf numFmtId="9" fontId="5" fillId="2" borderId="7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7" fillId="0" borderId="4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43" fontId="0" fillId="0" borderId="13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right" vertical="center"/>
    </xf>
    <xf numFmtId="10" fontId="0" fillId="0" borderId="13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3" xfId="0" applyFont="1" applyBorder="1" applyAlignment="1">
      <alignment horizontal="center" vertical="center"/>
    </xf>
    <xf numFmtId="0" fontId="4" fillId="0" borderId="25" xfId="0" applyFont="1" applyBorder="1"/>
    <xf numFmtId="0" fontId="4" fillId="0" borderId="37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13" xfId="0" applyFont="1" applyBorder="1"/>
    <xf numFmtId="0" fontId="5" fillId="0" borderId="33" xfId="0" applyFont="1" applyBorder="1" applyAlignment="1">
      <alignment horizontal="center" vertical="center"/>
    </xf>
    <xf numFmtId="0" fontId="4" fillId="0" borderId="41" xfId="0" applyFont="1" applyBorder="1"/>
    <xf numFmtId="165" fontId="3" fillId="0" borderId="6" xfId="0" applyNumberFormat="1" applyFont="1" applyBorder="1" applyAlignment="1">
      <alignment horizontal="right" vertical="center"/>
    </xf>
    <xf numFmtId="0" fontId="4" fillId="0" borderId="6" xfId="0" applyFont="1" applyBorder="1"/>
    <xf numFmtId="0" fontId="4" fillId="0" borderId="39" xfId="0" applyFont="1" applyBorder="1"/>
    <xf numFmtId="0" fontId="4" fillId="0" borderId="28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/>
    <xf numFmtId="165" fontId="4" fillId="0" borderId="13" xfId="0" applyNumberFormat="1" applyFont="1" applyBorder="1"/>
    <xf numFmtId="10" fontId="3" fillId="0" borderId="1" xfId="0" applyNumberFormat="1" applyFont="1" applyBorder="1" applyAlignment="1">
      <alignment horizontal="right" vertical="center"/>
    </xf>
    <xf numFmtId="10" fontId="4" fillId="0" borderId="13" xfId="0" applyNumberFormat="1" applyFont="1" applyBorder="1"/>
    <xf numFmtId="165" fontId="4" fillId="0" borderId="2" xfId="0" applyNumberFormat="1" applyFont="1" applyBorder="1"/>
    <xf numFmtId="0" fontId="0" fillId="4" borderId="23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65" fontId="3" fillId="0" borderId="5" xfId="0" applyNumberFormat="1" applyFont="1" applyBorder="1" applyAlignment="1">
      <alignment horizontal="right" vertical="center"/>
    </xf>
    <xf numFmtId="0" fontId="4" fillId="0" borderId="27" xfId="0" applyFont="1" applyBorder="1"/>
    <xf numFmtId="0" fontId="0" fillId="4" borderId="43" xfId="0" applyFill="1" applyBorder="1" applyAlignment="1">
      <alignment horizontal="left" vertical="center" wrapText="1"/>
    </xf>
    <xf numFmtId="0" fontId="0" fillId="4" borderId="44" xfId="0" applyFill="1" applyBorder="1" applyAlignment="1">
      <alignment horizontal="left" vertical="center" wrapText="1"/>
    </xf>
    <xf numFmtId="0" fontId="0" fillId="4" borderId="45" xfId="0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7" xfId="0" applyFont="1" applyBorder="1"/>
    <xf numFmtId="165" fontId="3" fillId="0" borderId="34" xfId="0" applyNumberFormat="1" applyFont="1" applyBorder="1" applyAlignment="1">
      <alignment horizontal="right" vertical="center"/>
    </xf>
    <xf numFmtId="0" fontId="4" fillId="0" borderId="34" xfId="0" applyFont="1" applyBorder="1"/>
    <xf numFmtId="0" fontId="5" fillId="0" borderId="24" xfId="0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right" vertical="center"/>
    </xf>
    <xf numFmtId="0" fontId="4" fillId="0" borderId="11" xfId="0" applyFont="1" applyBorder="1"/>
    <xf numFmtId="0" fontId="3" fillId="0" borderId="1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/>
    </xf>
    <xf numFmtId="0" fontId="4" fillId="0" borderId="10" xfId="0" applyFont="1" applyBorder="1"/>
    <xf numFmtId="10" fontId="3" fillId="0" borderId="3" xfId="0" applyNumberFormat="1" applyFont="1" applyBorder="1" applyAlignment="1">
      <alignment horizontal="right" vertical="center"/>
    </xf>
    <xf numFmtId="0" fontId="4" fillId="0" borderId="35" xfId="0" applyFont="1" applyBorder="1"/>
    <xf numFmtId="10" fontId="4" fillId="0" borderId="1" xfId="0" applyNumberFormat="1" applyFont="1" applyBorder="1"/>
    <xf numFmtId="0" fontId="6" fillId="0" borderId="5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38" xfId="0" applyFont="1" applyBorder="1"/>
    <xf numFmtId="0" fontId="4" fillId="0" borderId="50" xfId="0" applyFont="1" applyBorder="1"/>
    <xf numFmtId="0" fontId="4" fillId="0" borderId="55" xfId="0" applyFont="1" applyBorder="1"/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AA86-B2A1-4F8F-B971-8B2C3A2A0598}">
  <dimension ref="B1:U30"/>
  <sheetViews>
    <sheetView showGridLines="0" topLeftCell="B1" zoomScale="90" zoomScaleNormal="90" workbookViewId="0">
      <selection activeCell="C19" sqref="C19"/>
    </sheetView>
  </sheetViews>
  <sheetFormatPr defaultColWidth="8.7109375" defaultRowHeight="15" x14ac:dyDescent="0.25"/>
  <cols>
    <col min="1" max="1" width="8.7109375" style="2"/>
    <col min="2" max="2" width="5.7109375" style="23" bestFit="1" customWidth="1"/>
    <col min="3" max="3" width="48" style="1" customWidth="1"/>
    <col min="4" max="4" width="4.5703125" style="3" customWidth="1"/>
    <col min="5" max="5" width="18.42578125" style="1" customWidth="1"/>
    <col min="6" max="6" width="9.140625" style="2" customWidth="1"/>
    <col min="7" max="7" width="6.5703125" style="2" customWidth="1"/>
    <col min="8" max="8" width="8.42578125" style="2" customWidth="1"/>
    <col min="9" max="9" width="5.28515625" style="2" customWidth="1"/>
    <col min="10" max="10" width="10.7109375" style="2" customWidth="1"/>
    <col min="11" max="11" width="3.5703125" style="2" customWidth="1"/>
    <col min="12" max="12" width="11.140625" style="2" bestFit="1" customWidth="1"/>
    <col min="13" max="16384" width="8.7109375" style="2"/>
  </cols>
  <sheetData>
    <row r="1" spans="2:11" ht="15.75" thickBot="1" x14ac:dyDescent="0.3"/>
    <row r="2" spans="2:11" ht="31.5" x14ac:dyDescent="0.25">
      <c r="B2" s="44"/>
      <c r="C2" s="85" t="s">
        <v>0</v>
      </c>
      <c r="D2" s="86"/>
      <c r="E2" s="92" t="s">
        <v>65</v>
      </c>
      <c r="F2" s="19"/>
      <c r="G2" s="19"/>
      <c r="H2" s="19"/>
      <c r="I2" s="19"/>
      <c r="J2" s="19"/>
      <c r="K2" s="20"/>
    </row>
    <row r="3" spans="2:11" ht="15.75" x14ac:dyDescent="0.25">
      <c r="B3" s="45"/>
      <c r="C3" s="87" t="s">
        <v>2</v>
      </c>
      <c r="D3" s="88" t="s">
        <v>15</v>
      </c>
      <c r="E3" s="89">
        <v>10000000</v>
      </c>
      <c r="F3" s="8"/>
      <c r="G3" s="8"/>
      <c r="H3" s="8"/>
      <c r="I3" s="8"/>
      <c r="J3" s="8"/>
      <c r="K3" s="22"/>
    </row>
    <row r="4" spans="2:11" ht="15.75" x14ac:dyDescent="0.25">
      <c r="B4" s="45"/>
      <c r="C4" s="87" t="s">
        <v>1</v>
      </c>
      <c r="D4" s="88" t="s">
        <v>16</v>
      </c>
      <c r="E4" s="90">
        <v>0.02</v>
      </c>
      <c r="F4" s="8"/>
      <c r="G4" s="8"/>
      <c r="H4" s="8"/>
      <c r="I4" s="8"/>
      <c r="J4" s="8"/>
      <c r="K4" s="22"/>
    </row>
    <row r="5" spans="2:11" ht="15.75" x14ac:dyDescent="0.25">
      <c r="B5" s="45"/>
      <c r="C5" s="87" t="s">
        <v>37</v>
      </c>
      <c r="D5" s="88" t="s">
        <v>17</v>
      </c>
      <c r="E5" s="84">
        <v>2.9999999999999997E-4</v>
      </c>
      <c r="F5" s="8"/>
      <c r="G5" s="8"/>
      <c r="H5" s="8"/>
      <c r="I5" s="8"/>
      <c r="J5" s="8"/>
      <c r="K5" s="22"/>
    </row>
    <row r="6" spans="2:11" ht="15.75" x14ac:dyDescent="0.25">
      <c r="B6" s="45"/>
      <c r="C6" s="87" t="s">
        <v>49</v>
      </c>
      <c r="D6" s="88" t="s">
        <v>40</v>
      </c>
      <c r="E6" s="90">
        <v>2E-3</v>
      </c>
      <c r="F6" s="8"/>
      <c r="G6" s="8"/>
      <c r="H6" s="8"/>
      <c r="I6" s="8"/>
      <c r="J6" s="8"/>
      <c r="K6" s="22"/>
    </row>
    <row r="7" spans="2:11" ht="16.5" thickBot="1" x14ac:dyDescent="0.3">
      <c r="B7" s="45"/>
      <c r="C7" s="87"/>
      <c r="D7" s="88"/>
      <c r="E7" s="91"/>
      <c r="F7" s="29"/>
      <c r="G7" s="18"/>
      <c r="H7" s="18"/>
      <c r="I7" s="18"/>
      <c r="J7" s="18"/>
      <c r="K7" s="32"/>
    </row>
    <row r="8" spans="2:11" ht="15.75" thickBot="1" x14ac:dyDescent="0.3">
      <c r="B8" s="45"/>
      <c r="C8" s="93" t="s">
        <v>36</v>
      </c>
      <c r="D8" s="94"/>
      <c r="E8" s="95"/>
      <c r="F8" s="96" t="s">
        <v>12</v>
      </c>
      <c r="G8" s="97"/>
      <c r="H8" s="96" t="s">
        <v>13</v>
      </c>
      <c r="I8" s="97"/>
      <c r="J8" s="96" t="s">
        <v>14</v>
      </c>
      <c r="K8" s="97"/>
    </row>
    <row r="9" spans="2:11" x14ac:dyDescent="0.25">
      <c r="B9" s="45"/>
      <c r="C9" s="93"/>
      <c r="D9" s="94"/>
      <c r="E9" s="94"/>
      <c r="F9" s="30" t="s">
        <v>3</v>
      </c>
      <c r="G9" s="31">
        <v>0.2</v>
      </c>
      <c r="H9" s="30" t="s">
        <v>4</v>
      </c>
      <c r="I9" s="31">
        <v>-0.2</v>
      </c>
      <c r="J9" s="30" t="s">
        <v>5</v>
      </c>
      <c r="K9" s="33">
        <v>0</v>
      </c>
    </row>
    <row r="10" spans="2:11" x14ac:dyDescent="0.25">
      <c r="B10" s="45"/>
      <c r="C10" s="21" t="s">
        <v>11</v>
      </c>
      <c r="D10" s="6" t="s">
        <v>19</v>
      </c>
      <c r="E10" s="7" t="s">
        <v>29</v>
      </c>
      <c r="F10" s="98">
        <f>+$E$3</f>
        <v>10000000</v>
      </c>
      <c r="G10" s="98"/>
      <c r="H10" s="98">
        <f>+$E$3</f>
        <v>10000000</v>
      </c>
      <c r="I10" s="98"/>
      <c r="J10" s="98">
        <f>+$E$3</f>
        <v>10000000</v>
      </c>
      <c r="K10" s="99"/>
    </row>
    <row r="11" spans="2:11" x14ac:dyDescent="0.25">
      <c r="B11" s="45"/>
      <c r="C11" s="21" t="s">
        <v>33</v>
      </c>
      <c r="D11" s="6" t="s">
        <v>20</v>
      </c>
      <c r="E11" s="7" t="s">
        <v>30</v>
      </c>
      <c r="F11" s="98">
        <f>F10*G9</f>
        <v>2000000</v>
      </c>
      <c r="G11" s="98"/>
      <c r="H11" s="98">
        <f>H10*I9</f>
        <v>-2000000</v>
      </c>
      <c r="I11" s="98"/>
      <c r="J11" s="100">
        <f>J10*K9</f>
        <v>0</v>
      </c>
      <c r="K11" s="101"/>
    </row>
    <row r="12" spans="2:11" x14ac:dyDescent="0.25">
      <c r="B12" s="45"/>
      <c r="C12" s="21" t="s">
        <v>7</v>
      </c>
      <c r="D12" s="6" t="s">
        <v>21</v>
      </c>
      <c r="E12" s="7" t="s">
        <v>31</v>
      </c>
      <c r="F12" s="98">
        <f>F10+F11</f>
        <v>12000000</v>
      </c>
      <c r="G12" s="98"/>
      <c r="H12" s="98">
        <f>H10+H11</f>
        <v>8000000</v>
      </c>
      <c r="I12" s="98"/>
      <c r="J12" s="98">
        <f>J10+J11</f>
        <v>10000000</v>
      </c>
      <c r="K12" s="99"/>
    </row>
    <row r="13" spans="2:11" x14ac:dyDescent="0.25">
      <c r="B13" s="45"/>
      <c r="C13" s="102"/>
      <c r="D13" s="103"/>
      <c r="E13" s="103"/>
      <c r="F13" s="103"/>
      <c r="G13" s="103"/>
      <c r="H13" s="103"/>
      <c r="I13" s="103"/>
      <c r="J13" s="103"/>
      <c r="K13" s="104"/>
    </row>
    <row r="14" spans="2:11" x14ac:dyDescent="0.25">
      <c r="B14" s="45"/>
      <c r="C14" s="21" t="s">
        <v>55</v>
      </c>
      <c r="D14" s="6" t="s">
        <v>22</v>
      </c>
      <c r="E14" s="7" t="s">
        <v>32</v>
      </c>
      <c r="F14" s="105">
        <f>(F10+F12)/2</f>
        <v>11000000</v>
      </c>
      <c r="G14" s="105"/>
      <c r="H14" s="105">
        <f>(H10+H12)/2</f>
        <v>9000000</v>
      </c>
      <c r="I14" s="105"/>
      <c r="J14" s="105">
        <f>(J10+J12)/2</f>
        <v>10000000</v>
      </c>
      <c r="K14" s="106"/>
    </row>
    <row r="15" spans="2:11" x14ac:dyDescent="0.25">
      <c r="B15" s="45"/>
      <c r="C15" s="102"/>
      <c r="D15" s="103"/>
      <c r="E15" s="103"/>
      <c r="F15" s="103"/>
      <c r="G15" s="103"/>
      <c r="H15" s="103"/>
      <c r="I15" s="103"/>
      <c r="J15" s="103"/>
      <c r="K15" s="104"/>
    </row>
    <row r="16" spans="2:11" x14ac:dyDescent="0.25">
      <c r="B16" s="45"/>
      <c r="C16" s="21" t="s">
        <v>34</v>
      </c>
      <c r="D16" s="6" t="s">
        <v>23</v>
      </c>
      <c r="E16" s="7" t="s">
        <v>48</v>
      </c>
      <c r="F16" s="98">
        <f>+F14*-$E$5</f>
        <v>-3299.9999999999995</v>
      </c>
      <c r="G16" s="98"/>
      <c r="H16" s="98">
        <f>+H14*-$E$5</f>
        <v>-2699.9999999999995</v>
      </c>
      <c r="I16" s="98"/>
      <c r="J16" s="98">
        <f>+J14*-$E$5</f>
        <v>-2999.9999999999995</v>
      </c>
      <c r="K16" s="99"/>
    </row>
    <row r="17" spans="2:21" x14ac:dyDescent="0.25">
      <c r="B17" s="45"/>
      <c r="C17" s="21" t="s">
        <v>49</v>
      </c>
      <c r="D17" s="6" t="s">
        <v>24</v>
      </c>
      <c r="E17" s="7" t="s">
        <v>50</v>
      </c>
      <c r="F17" s="98">
        <f>+F14*-$E$6</f>
        <v>-22000</v>
      </c>
      <c r="G17" s="98"/>
      <c r="H17" s="98">
        <f>+H14*-$E$6</f>
        <v>-18000</v>
      </c>
      <c r="I17" s="98"/>
      <c r="J17" s="98">
        <f>+J14*-$E$6</f>
        <v>-20000</v>
      </c>
      <c r="K17" s="99"/>
    </row>
    <row r="18" spans="2:21" x14ac:dyDescent="0.25">
      <c r="B18" s="45"/>
      <c r="C18" s="21" t="s">
        <v>35</v>
      </c>
      <c r="D18" s="6" t="s">
        <v>25</v>
      </c>
      <c r="E18" s="5" t="s">
        <v>51</v>
      </c>
      <c r="F18" s="98">
        <f>+(F14+F16+F17)*-$E$4</f>
        <v>-219494</v>
      </c>
      <c r="G18" s="98"/>
      <c r="H18" s="98">
        <f>+(H14+H16+H17)*-$E$4</f>
        <v>-179586</v>
      </c>
      <c r="I18" s="98"/>
      <c r="J18" s="98">
        <f>+(J14+J16+J17)*-$E$4</f>
        <v>-199540</v>
      </c>
      <c r="K18" s="99"/>
    </row>
    <row r="19" spans="2:21" x14ac:dyDescent="0.25">
      <c r="B19" s="45"/>
      <c r="C19" s="21" t="s">
        <v>8</v>
      </c>
      <c r="D19" s="6" t="s">
        <v>26</v>
      </c>
      <c r="E19" s="5" t="s">
        <v>52</v>
      </c>
      <c r="F19" s="98">
        <f>+F16+F18+F17</f>
        <v>-244794</v>
      </c>
      <c r="G19" s="98"/>
      <c r="H19" s="98">
        <f>+H16+H18+H17</f>
        <v>-200286</v>
      </c>
      <c r="I19" s="98"/>
      <c r="J19" s="98">
        <f>+J16+J18+J17</f>
        <v>-222540</v>
      </c>
      <c r="K19" s="99"/>
    </row>
    <row r="20" spans="2:21" x14ac:dyDescent="0.25">
      <c r="B20" s="45"/>
      <c r="C20" s="102"/>
      <c r="D20" s="103"/>
      <c r="E20" s="103"/>
      <c r="F20" s="103"/>
      <c r="G20" s="103"/>
      <c r="H20" s="103"/>
      <c r="I20" s="103"/>
      <c r="J20" s="103"/>
      <c r="K20" s="104"/>
    </row>
    <row r="21" spans="2:21" x14ac:dyDescent="0.25">
      <c r="B21" s="45"/>
      <c r="C21" s="21" t="s">
        <v>9</v>
      </c>
      <c r="D21" s="6" t="s">
        <v>27</v>
      </c>
      <c r="E21" s="5" t="s">
        <v>58</v>
      </c>
      <c r="F21" s="98">
        <f>F12+F19</f>
        <v>11755206</v>
      </c>
      <c r="G21" s="98"/>
      <c r="H21" s="98">
        <f>H12+H19</f>
        <v>7799714</v>
      </c>
      <c r="I21" s="98"/>
      <c r="J21" s="98">
        <f>J12+J19</f>
        <v>9777460</v>
      </c>
      <c r="K21" s="99"/>
    </row>
    <row r="22" spans="2:21" x14ac:dyDescent="0.25">
      <c r="B22" s="45"/>
      <c r="C22" s="21" t="s">
        <v>10</v>
      </c>
      <c r="D22" s="6" t="s">
        <v>28</v>
      </c>
      <c r="E22" s="5" t="s">
        <v>59</v>
      </c>
      <c r="F22" s="110">
        <f>+F21/F10-1</f>
        <v>0.17552060000000003</v>
      </c>
      <c r="G22" s="110"/>
      <c r="H22" s="110">
        <f>+H21/H10-1</f>
        <v>-0.22002860000000002</v>
      </c>
      <c r="I22" s="110"/>
      <c r="J22" s="110">
        <f>+J21/J10-1</f>
        <v>-2.2253999999999996E-2</v>
      </c>
      <c r="K22" s="111"/>
    </row>
    <row r="23" spans="2:21" x14ac:dyDescent="0.25">
      <c r="B23" s="45"/>
      <c r="C23" s="21"/>
      <c r="D23" s="6"/>
      <c r="E23" s="5"/>
      <c r="F23" s="8"/>
      <c r="G23" s="8"/>
      <c r="H23" s="8"/>
      <c r="I23" s="8"/>
      <c r="J23" s="8"/>
      <c r="K23" s="22"/>
    </row>
    <row r="24" spans="2:21" ht="15.75" thickBot="1" x14ac:dyDescent="0.3">
      <c r="B24" s="46" t="s">
        <v>83</v>
      </c>
      <c r="C24" s="112" t="s">
        <v>63</v>
      </c>
      <c r="D24" s="113"/>
      <c r="E24" s="113"/>
      <c r="F24" s="113"/>
      <c r="G24" s="113"/>
      <c r="H24" s="113"/>
      <c r="I24" s="113"/>
      <c r="J24" s="113"/>
      <c r="K24" s="114"/>
    </row>
    <row r="25" spans="2:21" s="4" customFormat="1" ht="41.25" customHeight="1" thickBot="1" x14ac:dyDescent="0.3">
      <c r="B25" s="24">
        <v>1</v>
      </c>
      <c r="C25" s="107" t="s">
        <v>80</v>
      </c>
      <c r="D25" s="108"/>
      <c r="E25" s="108"/>
      <c r="F25" s="108"/>
      <c r="G25" s="108"/>
      <c r="H25" s="108"/>
      <c r="I25" s="108"/>
      <c r="J25" s="108"/>
      <c r="K25" s="10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s="4" customFormat="1" ht="37.5" customHeight="1" thickBot="1" x14ac:dyDescent="0.3">
      <c r="B26" s="24">
        <f t="shared" ref="B26:B30" si="0">+B25+1</f>
        <v>2</v>
      </c>
      <c r="C26" s="107" t="s">
        <v>82</v>
      </c>
      <c r="D26" s="108"/>
      <c r="E26" s="108"/>
      <c r="F26" s="108"/>
      <c r="G26" s="108"/>
      <c r="H26" s="108"/>
      <c r="I26" s="108"/>
      <c r="J26" s="108"/>
      <c r="K26" s="109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s="4" customFormat="1" ht="33.75" customHeight="1" thickBot="1" x14ac:dyDescent="0.3">
      <c r="B27" s="24">
        <f t="shared" si="0"/>
        <v>3</v>
      </c>
      <c r="C27" s="107" t="s">
        <v>53</v>
      </c>
      <c r="D27" s="108"/>
      <c r="E27" s="108"/>
      <c r="F27" s="108"/>
      <c r="G27" s="108"/>
      <c r="H27" s="108"/>
      <c r="I27" s="108"/>
      <c r="J27" s="108"/>
      <c r="K27" s="109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s="4" customFormat="1" ht="29.25" customHeight="1" thickBot="1" x14ac:dyDescent="0.3">
      <c r="B28" s="24">
        <f t="shared" si="0"/>
        <v>4</v>
      </c>
      <c r="C28" s="115" t="s">
        <v>77</v>
      </c>
      <c r="D28" s="116"/>
      <c r="E28" s="116"/>
      <c r="F28" s="116"/>
      <c r="G28" s="116"/>
      <c r="H28" s="116"/>
      <c r="I28" s="116"/>
      <c r="J28" s="116"/>
      <c r="K28" s="117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s="4" customFormat="1" ht="33.75" customHeight="1" thickBot="1" x14ac:dyDescent="0.3">
      <c r="B29" s="24">
        <f t="shared" si="0"/>
        <v>5</v>
      </c>
      <c r="C29" s="107" t="s">
        <v>54</v>
      </c>
      <c r="D29" s="108"/>
      <c r="E29" s="108"/>
      <c r="F29" s="108"/>
      <c r="G29" s="108"/>
      <c r="H29" s="108"/>
      <c r="I29" s="108"/>
      <c r="J29" s="108"/>
      <c r="K29" s="10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s="4" customFormat="1" ht="15.75" customHeight="1" thickBot="1" x14ac:dyDescent="0.3">
      <c r="B30" s="24">
        <f t="shared" si="0"/>
        <v>6</v>
      </c>
      <c r="C30" s="107" t="s">
        <v>78</v>
      </c>
      <c r="D30" s="108"/>
      <c r="E30" s="108"/>
      <c r="F30" s="108"/>
      <c r="G30" s="108"/>
      <c r="H30" s="108"/>
      <c r="I30" s="108"/>
      <c r="J30" s="108"/>
      <c r="K30" s="109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mergeCells count="44">
    <mergeCell ref="C26:K26"/>
    <mergeCell ref="C27:K27"/>
    <mergeCell ref="C28:K28"/>
    <mergeCell ref="C29:K29"/>
    <mergeCell ref="C30:K30"/>
    <mergeCell ref="C25:K25"/>
    <mergeCell ref="F19:G19"/>
    <mergeCell ref="H19:I19"/>
    <mergeCell ref="J19:K19"/>
    <mergeCell ref="C20:K20"/>
    <mergeCell ref="F21:G21"/>
    <mergeCell ref="H21:I21"/>
    <mergeCell ref="J21:K21"/>
    <mergeCell ref="F22:G22"/>
    <mergeCell ref="H22:I22"/>
    <mergeCell ref="J22:K22"/>
    <mergeCell ref="C24:K24"/>
    <mergeCell ref="F17:G17"/>
    <mergeCell ref="H17:I17"/>
    <mergeCell ref="J17:K17"/>
    <mergeCell ref="F18:G18"/>
    <mergeCell ref="H18:I18"/>
    <mergeCell ref="J18:K18"/>
    <mergeCell ref="F16:G16"/>
    <mergeCell ref="H16:I16"/>
    <mergeCell ref="J16:K16"/>
    <mergeCell ref="F11:G11"/>
    <mergeCell ref="H11:I11"/>
    <mergeCell ref="J11:K11"/>
    <mergeCell ref="F12:G12"/>
    <mergeCell ref="H12:I12"/>
    <mergeCell ref="J12:K12"/>
    <mergeCell ref="C13:K13"/>
    <mergeCell ref="F14:G14"/>
    <mergeCell ref="H14:I14"/>
    <mergeCell ref="J14:K14"/>
    <mergeCell ref="C15:K15"/>
    <mergeCell ref="C8:E9"/>
    <mergeCell ref="F8:G8"/>
    <mergeCell ref="H8:I8"/>
    <mergeCell ref="J8:K8"/>
    <mergeCell ref="F10:G10"/>
    <mergeCell ref="H10:I10"/>
    <mergeCell ref="J10:K10"/>
  </mergeCells>
  <printOptions horizontalCentered="1"/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A420-80B0-4E1B-9D87-CE647D5819A0}">
  <dimension ref="B1:Q43"/>
  <sheetViews>
    <sheetView showGridLines="0" topLeftCell="A5" zoomScale="85" zoomScaleNormal="85" workbookViewId="0">
      <selection activeCell="U23" sqref="U23"/>
    </sheetView>
  </sheetViews>
  <sheetFormatPr defaultColWidth="14.42578125" defaultRowHeight="15" customHeight="1" x14ac:dyDescent="0.25"/>
  <cols>
    <col min="2" max="2" width="5.7109375" bestFit="1" customWidth="1"/>
    <col min="3" max="3" width="48" customWidth="1"/>
    <col min="4" max="4" width="8" customWidth="1"/>
    <col min="5" max="5" width="14.7109375" customWidth="1"/>
    <col min="6" max="6" width="12.7109375" customWidth="1"/>
    <col min="7" max="7" width="5.7109375" bestFit="1" customWidth="1"/>
    <col min="8" max="8" width="14.7109375" customWidth="1"/>
    <col min="9" max="9" width="6.28515625" customWidth="1"/>
    <col min="10" max="10" width="13.7109375" customWidth="1"/>
    <col min="11" max="11" width="6.28515625" customWidth="1"/>
    <col min="12" max="12" width="13.7109375" customWidth="1"/>
    <col min="13" max="13" width="6.28515625" customWidth="1"/>
    <col min="14" max="14" width="13" customWidth="1"/>
    <col min="15" max="15" width="6.28515625" customWidth="1"/>
    <col min="16" max="16" width="12.42578125" customWidth="1"/>
    <col min="17" max="17" width="4.42578125" customWidth="1"/>
    <col min="18" max="18" width="8.7109375" customWidth="1"/>
    <col min="19" max="19" width="10.42578125" customWidth="1"/>
    <col min="20" max="20" width="8.7109375" customWidth="1"/>
    <col min="21" max="21" width="20.28515625" customWidth="1"/>
    <col min="22" max="26" width="8.7109375" customWidth="1"/>
  </cols>
  <sheetData>
    <row r="1" spans="2:17" ht="15" customHeight="1" thickBot="1" x14ac:dyDescent="0.3"/>
    <row r="2" spans="2:17" ht="31.5" x14ac:dyDescent="0.25">
      <c r="B2" s="49"/>
      <c r="C2" s="76"/>
      <c r="D2" s="77"/>
      <c r="E2" s="92" t="s">
        <v>65</v>
      </c>
      <c r="F2" s="25"/>
      <c r="G2" s="25"/>
      <c r="H2" s="25"/>
      <c r="I2" s="25"/>
      <c r="J2" s="25"/>
      <c r="K2" s="25"/>
      <c r="L2" s="25"/>
      <c r="M2" s="25"/>
      <c r="N2" s="25"/>
      <c r="O2" s="41"/>
      <c r="P2" s="41"/>
      <c r="Q2" s="26"/>
    </row>
    <row r="3" spans="2:17" ht="15.75" x14ac:dyDescent="0.25">
      <c r="B3" s="50"/>
      <c r="C3" s="78" t="s">
        <v>0</v>
      </c>
      <c r="D3" s="79"/>
      <c r="E3" s="80"/>
      <c r="F3" s="10"/>
      <c r="G3" s="10"/>
      <c r="H3" s="10"/>
      <c r="I3" s="10"/>
      <c r="J3" s="10"/>
      <c r="K3" s="10"/>
      <c r="L3" s="10"/>
      <c r="M3" s="10"/>
      <c r="N3" s="10"/>
      <c r="Q3" s="27"/>
    </row>
    <row r="4" spans="2:17" ht="15.75" x14ac:dyDescent="0.25">
      <c r="B4" s="50"/>
      <c r="C4" s="81" t="s">
        <v>2</v>
      </c>
      <c r="D4" s="82" t="s">
        <v>15</v>
      </c>
      <c r="E4" s="83">
        <v>10000000</v>
      </c>
      <c r="F4" s="10"/>
      <c r="G4" s="10"/>
      <c r="H4" s="10"/>
      <c r="I4" s="10"/>
      <c r="J4" s="10"/>
      <c r="K4" s="10"/>
      <c r="L4" s="10"/>
      <c r="M4" s="10"/>
      <c r="N4" s="10"/>
      <c r="Q4" s="27"/>
    </row>
    <row r="5" spans="2:17" ht="15.75" x14ac:dyDescent="0.25">
      <c r="B5" s="50"/>
      <c r="C5" s="81" t="s">
        <v>1</v>
      </c>
      <c r="D5" s="82" t="s">
        <v>16</v>
      </c>
      <c r="E5" s="84">
        <v>2.5000000000000001E-2</v>
      </c>
      <c r="F5" s="10"/>
      <c r="G5" s="10"/>
      <c r="H5" s="10"/>
      <c r="I5" s="10"/>
      <c r="J5" s="10"/>
      <c r="K5" s="10"/>
      <c r="L5" s="10"/>
      <c r="M5" s="10"/>
      <c r="N5" s="10"/>
      <c r="Q5" s="27"/>
    </row>
    <row r="6" spans="2:17" ht="15.75" x14ac:dyDescent="0.25">
      <c r="B6" s="50"/>
      <c r="C6" s="81" t="s">
        <v>6</v>
      </c>
      <c r="D6" s="82" t="s">
        <v>17</v>
      </c>
      <c r="E6" s="84">
        <v>2.9999999999999997E-4</v>
      </c>
      <c r="F6" s="10"/>
      <c r="G6" s="10"/>
      <c r="H6" s="10"/>
      <c r="I6" s="10"/>
      <c r="J6" s="10"/>
      <c r="K6" s="10"/>
      <c r="L6" s="10"/>
      <c r="M6" s="10"/>
      <c r="N6" s="10"/>
      <c r="Q6" s="27"/>
    </row>
    <row r="7" spans="2:17" ht="15.75" x14ac:dyDescent="0.25">
      <c r="B7" s="50"/>
      <c r="C7" s="81" t="s">
        <v>38</v>
      </c>
      <c r="D7" s="82" t="s">
        <v>40</v>
      </c>
      <c r="E7" s="84">
        <v>0.2</v>
      </c>
      <c r="F7" s="10"/>
      <c r="G7" s="10"/>
      <c r="H7" s="10"/>
      <c r="I7" s="10"/>
      <c r="J7" s="10"/>
      <c r="K7" s="10"/>
      <c r="L7" s="10"/>
      <c r="M7" s="10"/>
      <c r="N7" s="10"/>
      <c r="Q7" s="27"/>
    </row>
    <row r="8" spans="2:17" ht="15.75" x14ac:dyDescent="0.25">
      <c r="B8" s="50"/>
      <c r="C8" s="81" t="s">
        <v>39</v>
      </c>
      <c r="D8" s="82" t="s">
        <v>41</v>
      </c>
      <c r="E8" s="84">
        <v>0.12</v>
      </c>
      <c r="F8" s="10"/>
      <c r="G8" s="10"/>
      <c r="H8" s="10"/>
      <c r="I8" s="10"/>
      <c r="J8" s="10"/>
      <c r="K8" s="10"/>
      <c r="L8" s="10"/>
      <c r="M8" s="10"/>
      <c r="N8" s="10"/>
      <c r="Q8" s="27"/>
    </row>
    <row r="9" spans="2:17" ht="15.75" x14ac:dyDescent="0.25">
      <c r="B9" s="50"/>
      <c r="C9" s="81" t="s">
        <v>49</v>
      </c>
      <c r="D9" s="82" t="s">
        <v>56</v>
      </c>
      <c r="E9" s="84">
        <v>2E-3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7"/>
    </row>
    <row r="10" spans="2:17" ht="15.75" thickBot="1" x14ac:dyDescent="0.3">
      <c r="B10" s="50"/>
      <c r="C10" s="11"/>
      <c r="D10" s="12"/>
      <c r="E10" s="11"/>
      <c r="F10" s="13"/>
      <c r="G10" s="10"/>
      <c r="H10" s="10"/>
      <c r="I10" s="10"/>
      <c r="J10" s="10"/>
      <c r="K10" s="10"/>
      <c r="L10" s="10"/>
      <c r="M10" s="10"/>
      <c r="N10" s="10"/>
      <c r="O10" s="42"/>
      <c r="P10" s="42"/>
      <c r="Q10" s="43"/>
    </row>
    <row r="11" spans="2:17" ht="15.75" thickBot="1" x14ac:dyDescent="0.3">
      <c r="B11" s="50"/>
      <c r="C11" s="121" t="s">
        <v>74</v>
      </c>
      <c r="D11" s="119"/>
      <c r="E11" s="120"/>
      <c r="F11" s="123" t="s">
        <v>89</v>
      </c>
      <c r="G11" s="124"/>
      <c r="H11" s="123" t="s">
        <v>84</v>
      </c>
      <c r="I11" s="124"/>
      <c r="J11" s="123" t="s">
        <v>85</v>
      </c>
      <c r="K11" s="124"/>
      <c r="L11" s="123" t="s">
        <v>86</v>
      </c>
      <c r="M11" s="124"/>
      <c r="N11" s="123" t="s">
        <v>87</v>
      </c>
      <c r="O11" s="125"/>
      <c r="P11" s="128" t="s">
        <v>88</v>
      </c>
      <c r="Q11" s="129"/>
    </row>
    <row r="12" spans="2:17" ht="15.75" thickBot="1" x14ac:dyDescent="0.3">
      <c r="B12" s="50"/>
      <c r="C12" s="122"/>
      <c r="D12" s="119"/>
      <c r="E12" s="120"/>
      <c r="F12" s="34" t="s">
        <v>64</v>
      </c>
      <c r="G12" s="35">
        <v>-0.26</v>
      </c>
      <c r="H12" s="36" t="s">
        <v>64</v>
      </c>
      <c r="I12" s="37">
        <v>0.79</v>
      </c>
      <c r="J12" s="36" t="s">
        <v>64</v>
      </c>
      <c r="K12" s="37">
        <v>0.22</v>
      </c>
      <c r="L12" s="36" t="s">
        <v>64</v>
      </c>
      <c r="M12" s="37">
        <v>0</v>
      </c>
      <c r="N12" s="36" t="s">
        <v>64</v>
      </c>
      <c r="O12" s="39">
        <v>0.4</v>
      </c>
      <c r="P12" s="36" t="s">
        <v>64</v>
      </c>
      <c r="Q12" s="38">
        <v>0.12</v>
      </c>
    </row>
    <row r="13" spans="2:17" x14ac:dyDescent="0.25">
      <c r="B13" s="50"/>
      <c r="C13" s="47" t="s">
        <v>73</v>
      </c>
      <c r="D13" s="15" t="s">
        <v>19</v>
      </c>
      <c r="E13" s="17" t="s">
        <v>29</v>
      </c>
      <c r="F13" s="130">
        <f>E4</f>
        <v>10000000</v>
      </c>
      <c r="G13" s="131"/>
      <c r="H13" s="130">
        <f>F33</f>
        <v>7162990.25</v>
      </c>
      <c r="I13" s="131"/>
      <c r="J13" s="130">
        <f>H33</f>
        <v>12549535.369669553</v>
      </c>
      <c r="K13" s="131"/>
      <c r="L13" s="130">
        <f>J33</f>
        <v>14754612.443827782</v>
      </c>
      <c r="M13" s="131"/>
      <c r="N13" s="130">
        <f>L33</f>
        <v>14352659.914326804</v>
      </c>
      <c r="O13" s="132"/>
      <c r="P13" s="130">
        <f>N33</f>
        <v>19624521.074798267</v>
      </c>
      <c r="Q13" s="133"/>
    </row>
    <row r="14" spans="2:17" x14ac:dyDescent="0.25">
      <c r="B14" s="50"/>
      <c r="C14" s="47" t="s">
        <v>33</v>
      </c>
      <c r="D14" s="15" t="s">
        <v>20</v>
      </c>
      <c r="E14" s="17" t="s">
        <v>30</v>
      </c>
      <c r="F14" s="118">
        <f>F13*G$12</f>
        <v>-2600000</v>
      </c>
      <c r="G14" s="119"/>
      <c r="H14" s="118">
        <f>H13*I$12</f>
        <v>5658762.2975000003</v>
      </c>
      <c r="I14" s="119"/>
      <c r="J14" s="118">
        <f>J13*K$12</f>
        <v>2760897.7813273016</v>
      </c>
      <c r="K14" s="119"/>
      <c r="L14" s="118">
        <f>L13*M$12</f>
        <v>0</v>
      </c>
      <c r="M14" s="119"/>
      <c r="N14" s="118">
        <f>N13*O$12</f>
        <v>5741063.9657307221</v>
      </c>
      <c r="O14" s="120"/>
      <c r="P14" s="118">
        <f>P13*Q$12</f>
        <v>2354942.5289757918</v>
      </c>
      <c r="Q14" s="127"/>
    </row>
    <row r="15" spans="2:17" x14ac:dyDescent="0.25">
      <c r="B15" s="50"/>
      <c r="C15" s="47" t="s">
        <v>7</v>
      </c>
      <c r="D15" s="15" t="s">
        <v>21</v>
      </c>
      <c r="E15" s="17" t="s">
        <v>31</v>
      </c>
      <c r="F15" s="118">
        <f>F13+F14</f>
        <v>7400000</v>
      </c>
      <c r="G15" s="119"/>
      <c r="H15" s="118">
        <f>H13+H14</f>
        <v>12821752.547499999</v>
      </c>
      <c r="I15" s="119"/>
      <c r="J15" s="118">
        <f>J13+J14</f>
        <v>15310433.150996855</v>
      </c>
      <c r="K15" s="119"/>
      <c r="L15" s="118">
        <f>L13+L14</f>
        <v>14754612.443827782</v>
      </c>
      <c r="M15" s="119"/>
      <c r="N15" s="118">
        <f>N13+N14</f>
        <v>20093723.880057525</v>
      </c>
      <c r="O15" s="120"/>
      <c r="P15" s="118">
        <f>P13+P14</f>
        <v>21979463.60377406</v>
      </c>
      <c r="Q15" s="127"/>
    </row>
    <row r="16" spans="2:17" x14ac:dyDescent="0.25">
      <c r="B16" s="50"/>
      <c r="C16" s="126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40"/>
      <c r="Q16" s="28"/>
    </row>
    <row r="17" spans="2:17" x14ac:dyDescent="0.25">
      <c r="B17" s="50"/>
      <c r="C17" s="47" t="s">
        <v>18</v>
      </c>
      <c r="D17" s="15" t="s">
        <v>22</v>
      </c>
      <c r="E17" s="7" t="s">
        <v>32</v>
      </c>
      <c r="F17" s="118">
        <f>(F13+F15)/2</f>
        <v>8700000</v>
      </c>
      <c r="G17" s="119"/>
      <c r="H17" s="118">
        <f>(H13+H15)/2</f>
        <v>9992371.3987499997</v>
      </c>
      <c r="I17" s="119"/>
      <c r="J17" s="118">
        <f>(J13+J15)/2</f>
        <v>13929984.260333203</v>
      </c>
      <c r="K17" s="119"/>
      <c r="L17" s="118">
        <f>(L13+L15)/2</f>
        <v>14754612.443827782</v>
      </c>
      <c r="M17" s="119"/>
      <c r="N17" s="118">
        <f>(N13+N15)/2</f>
        <v>17223191.897192165</v>
      </c>
      <c r="O17" s="120"/>
      <c r="P17" s="118">
        <f>(P13+P15)/2</f>
        <v>20801992.339286163</v>
      </c>
      <c r="Q17" s="127"/>
    </row>
    <row r="18" spans="2:17" x14ac:dyDescent="0.25">
      <c r="B18" s="50"/>
      <c r="C18" s="126"/>
      <c r="D18" s="119"/>
      <c r="E18" s="119"/>
      <c r="F18" s="119"/>
      <c r="G18" s="119"/>
      <c r="H18" s="119"/>
      <c r="I18" s="119"/>
      <c r="J18" s="119"/>
      <c r="K18" s="119"/>
      <c r="L18" s="134"/>
      <c r="M18" s="135"/>
      <c r="N18" s="134"/>
      <c r="O18" s="136"/>
      <c r="P18" s="134"/>
      <c r="Q18" s="137"/>
    </row>
    <row r="19" spans="2:17" x14ac:dyDescent="0.25">
      <c r="B19" s="50"/>
      <c r="C19" s="47" t="s">
        <v>34</v>
      </c>
      <c r="D19" s="15" t="s">
        <v>23</v>
      </c>
      <c r="E19" s="17" t="s">
        <v>48</v>
      </c>
      <c r="F19" s="118">
        <f>F17*-$E$6</f>
        <v>-2609.9999999999995</v>
      </c>
      <c r="G19" s="119"/>
      <c r="H19" s="118">
        <f t="shared" ref="H19" si="0">H17*-$E$6</f>
        <v>-2997.7114196249995</v>
      </c>
      <c r="I19" s="119"/>
      <c r="J19" s="118">
        <f t="shared" ref="J19" si="1">J17*-$E$6</f>
        <v>-4178.9952780999602</v>
      </c>
      <c r="K19" s="119"/>
      <c r="L19" s="118">
        <f t="shared" ref="L19" si="2">L17*-$E$6</f>
        <v>-4426.3837331483346</v>
      </c>
      <c r="M19" s="119"/>
      <c r="N19" s="118">
        <f t="shared" ref="N19:P19" si="3">N17*-$E$6</f>
        <v>-5166.9575691576492</v>
      </c>
      <c r="O19" s="120"/>
      <c r="P19" s="118">
        <f t="shared" si="3"/>
        <v>-6240.5977017858486</v>
      </c>
      <c r="Q19" s="127"/>
    </row>
    <row r="20" spans="2:17" x14ac:dyDescent="0.25">
      <c r="B20" s="50"/>
      <c r="C20" s="47" t="s">
        <v>49</v>
      </c>
      <c r="D20" s="15" t="s">
        <v>24</v>
      </c>
      <c r="E20" s="17" t="s">
        <v>57</v>
      </c>
      <c r="F20" s="118">
        <f>F17*-$E$9</f>
        <v>-17400</v>
      </c>
      <c r="G20" s="119"/>
      <c r="H20" s="118">
        <f t="shared" ref="H20" si="4">H17*-$E$9</f>
        <v>-19984.742797499999</v>
      </c>
      <c r="I20" s="119"/>
      <c r="J20" s="118">
        <f t="shared" ref="J20" si="5">J17*-$E$9</f>
        <v>-27859.968520666407</v>
      </c>
      <c r="K20" s="119"/>
      <c r="L20" s="118">
        <f t="shared" ref="L20" si="6">L17*-$E$9</f>
        <v>-29509.224887655564</v>
      </c>
      <c r="M20" s="119"/>
      <c r="N20" s="118">
        <f t="shared" ref="N20:P20" si="7">N17*-$E$9</f>
        <v>-34446.383794384332</v>
      </c>
      <c r="O20" s="120"/>
      <c r="P20" s="118">
        <f t="shared" si="7"/>
        <v>-41603.984678572328</v>
      </c>
      <c r="Q20" s="127"/>
    </row>
    <row r="21" spans="2:17" ht="30" x14ac:dyDescent="0.25">
      <c r="B21" s="50"/>
      <c r="C21" s="47" t="s">
        <v>35</v>
      </c>
      <c r="D21" s="15" t="s">
        <v>25</v>
      </c>
      <c r="E21" s="14" t="s">
        <v>51</v>
      </c>
      <c r="F21" s="118">
        <f>(F17+F19+F20)*-$E$5</f>
        <v>-216999.75</v>
      </c>
      <c r="G21" s="119"/>
      <c r="H21" s="118">
        <f t="shared" ref="H21" si="8">(H17+H19+H20)*-$E$5</f>
        <v>-249234.7236133219</v>
      </c>
      <c r="I21" s="119"/>
      <c r="J21" s="118">
        <f t="shared" ref="J21" si="9">(J17+J19+J20)*-$E$5</f>
        <v>-347448.63241336099</v>
      </c>
      <c r="K21" s="119"/>
      <c r="L21" s="118">
        <f t="shared" ref="L21" si="10">(L17+L19+L20)*-$E$5</f>
        <v>-368016.9208801745</v>
      </c>
      <c r="M21" s="119"/>
      <c r="N21" s="118">
        <f t="shared" ref="N21:P21" si="11">(N17+N19+N20)*-$E$5</f>
        <v>-429589.4638957156</v>
      </c>
      <c r="O21" s="120"/>
      <c r="P21" s="118">
        <f t="shared" si="11"/>
        <v>-518853.69392264518</v>
      </c>
      <c r="Q21" s="127"/>
    </row>
    <row r="22" spans="2:17" ht="15.75" customHeight="1" x14ac:dyDescent="0.25">
      <c r="B22" s="50"/>
      <c r="C22" s="47" t="s">
        <v>75</v>
      </c>
      <c r="D22" s="15" t="s">
        <v>26</v>
      </c>
      <c r="E22" s="14" t="s">
        <v>52</v>
      </c>
      <c r="F22" s="118">
        <f>F19+F20+F21</f>
        <v>-237009.75</v>
      </c>
      <c r="G22" s="119"/>
      <c r="H22" s="118">
        <f t="shared" ref="H22" si="12">H19+H20+H21</f>
        <v>-272217.17783044692</v>
      </c>
      <c r="I22" s="119"/>
      <c r="J22" s="118">
        <f t="shared" ref="J22" si="13">J19+J20+J21</f>
        <v>-379487.59621212736</v>
      </c>
      <c r="K22" s="119"/>
      <c r="L22" s="118">
        <f t="shared" ref="L22" si="14">L19+L20+L21</f>
        <v>-401952.52950097842</v>
      </c>
      <c r="M22" s="119"/>
      <c r="N22" s="118">
        <f t="shared" ref="N22:P22" si="15">N19+N20+N21</f>
        <v>-469202.80525925756</v>
      </c>
      <c r="O22" s="120"/>
      <c r="P22" s="118">
        <f t="shared" si="15"/>
        <v>-566698.27630300331</v>
      </c>
      <c r="Q22" s="127"/>
    </row>
    <row r="23" spans="2:17" ht="15.75" customHeight="1" x14ac:dyDescent="0.25">
      <c r="B23" s="50"/>
      <c r="C23" s="126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40"/>
      <c r="Q23" s="28"/>
    </row>
    <row r="24" spans="2:17" ht="27.75" customHeight="1" x14ac:dyDescent="0.25">
      <c r="B24" s="50"/>
      <c r="C24" s="47" t="s">
        <v>76</v>
      </c>
      <c r="D24" s="15" t="s">
        <v>27</v>
      </c>
      <c r="E24" s="5" t="s">
        <v>58</v>
      </c>
      <c r="F24" s="118">
        <f>F15+F22</f>
        <v>7162990.25</v>
      </c>
      <c r="G24" s="119"/>
      <c r="H24" s="118">
        <f>H15+H22</f>
        <v>12549535.369669553</v>
      </c>
      <c r="I24" s="119"/>
      <c r="J24" s="118">
        <f>J15+J22</f>
        <v>14930945.554784726</v>
      </c>
      <c r="K24" s="119"/>
      <c r="L24" s="118">
        <f>L15+L22</f>
        <v>14352659.914326804</v>
      </c>
      <c r="M24" s="119"/>
      <c r="N24" s="118">
        <f>N15+N22</f>
        <v>19624521.074798267</v>
      </c>
      <c r="O24" s="120"/>
      <c r="P24" s="118">
        <f>P15+P22</f>
        <v>21412765.327471055</v>
      </c>
      <c r="Q24" s="127"/>
    </row>
    <row r="25" spans="2:17" ht="45" x14ac:dyDescent="0.25">
      <c r="B25" s="50"/>
      <c r="C25" s="47" t="s">
        <v>61</v>
      </c>
      <c r="D25" s="15" t="s">
        <v>28</v>
      </c>
      <c r="E25" s="14"/>
      <c r="F25" s="118" t="s">
        <v>79</v>
      </c>
      <c r="G25" s="119"/>
      <c r="H25" s="118" t="s">
        <v>79</v>
      </c>
      <c r="I25" s="119"/>
      <c r="J25" s="118">
        <f>MAX(J24,F13)</f>
        <v>14930945.554784726</v>
      </c>
      <c r="K25" s="119"/>
      <c r="L25" s="118" t="s">
        <v>79</v>
      </c>
      <c r="M25" s="119"/>
      <c r="N25" s="118" t="s">
        <v>79</v>
      </c>
      <c r="O25" s="120"/>
      <c r="P25" s="118">
        <f>MAX(P24,L13)</f>
        <v>21412765.327471055</v>
      </c>
      <c r="Q25" s="127"/>
    </row>
    <row r="26" spans="2:17" ht="15.75" customHeight="1" x14ac:dyDescent="0.25">
      <c r="B26" s="50"/>
      <c r="C26" s="48" t="s">
        <v>71</v>
      </c>
      <c r="D26" s="15" t="s">
        <v>42</v>
      </c>
      <c r="E26" s="9" t="s">
        <v>60</v>
      </c>
      <c r="F26" s="138">
        <v>0</v>
      </c>
      <c r="G26" s="139"/>
      <c r="H26" s="138">
        <v>0</v>
      </c>
      <c r="I26" s="139"/>
      <c r="J26" s="118">
        <f>(F13*(1+$E$8)^3)</f>
        <v>14049280.000000004</v>
      </c>
      <c r="K26" s="119"/>
      <c r="L26" s="118">
        <v>0</v>
      </c>
      <c r="M26" s="119"/>
      <c r="N26" s="118">
        <v>0</v>
      </c>
      <c r="O26" s="120"/>
      <c r="P26" s="118">
        <f>(L13*(1+$E$8)^3)</f>
        <v>20729168.151482083</v>
      </c>
      <c r="Q26" s="127"/>
    </row>
    <row r="27" spans="2:17" ht="15.75" customHeight="1" x14ac:dyDescent="0.25">
      <c r="B27" s="50"/>
      <c r="C27" s="48"/>
      <c r="D27" s="15"/>
      <c r="E27" s="16"/>
      <c r="F27" s="118"/>
      <c r="G27" s="119"/>
      <c r="H27" s="134"/>
      <c r="I27" s="135"/>
      <c r="J27" s="134"/>
      <c r="K27" s="135"/>
      <c r="L27" s="134"/>
      <c r="M27" s="135"/>
      <c r="N27" s="134"/>
      <c r="O27" s="136"/>
      <c r="P27" s="134"/>
      <c r="Q27" s="137"/>
    </row>
    <row r="28" spans="2:17" ht="15.75" customHeight="1" x14ac:dyDescent="0.25">
      <c r="B28" s="50"/>
      <c r="C28" s="47" t="s">
        <v>72</v>
      </c>
      <c r="D28" s="15" t="s">
        <v>43</v>
      </c>
      <c r="E28" s="14"/>
      <c r="F28" s="118">
        <f>IF((F13+F26)-F15&gt;0,0,((F13+F26)-F15))</f>
        <v>0</v>
      </c>
      <c r="G28" s="119"/>
      <c r="H28" s="118">
        <f>IF((H13+H26)-H15&gt;0,0,H15-MIN(F25,H15))</f>
        <v>0</v>
      </c>
      <c r="I28" s="119"/>
      <c r="J28" s="118">
        <f>MAX(0, (J24-J26))</f>
        <v>881665.55478472263</v>
      </c>
      <c r="K28" s="119"/>
      <c r="L28" s="118">
        <f>IF((L13+L26)-L15&gt;0,0,L15-MIN(J25,L15))</f>
        <v>0</v>
      </c>
      <c r="M28" s="119"/>
      <c r="N28" s="118">
        <f>IF((N13+N26)-N15&gt;0,0,N15-MIN(L25,N15))</f>
        <v>0</v>
      </c>
      <c r="O28" s="120"/>
      <c r="P28" s="118">
        <f>MAX(0,(P24-P26))</f>
        <v>683597.17598897219</v>
      </c>
      <c r="Q28" s="127"/>
    </row>
    <row r="29" spans="2:17" ht="15.75" customHeight="1" x14ac:dyDescent="0.25">
      <c r="B29" s="50"/>
      <c r="C29" s="48" t="s">
        <v>70</v>
      </c>
      <c r="D29" s="15" t="s">
        <v>44</v>
      </c>
      <c r="E29" s="16"/>
      <c r="F29" s="118">
        <f>IF(F28&gt;0,F28*$E$7,0)</f>
        <v>0</v>
      </c>
      <c r="G29" s="119"/>
      <c r="H29" s="118">
        <v>0</v>
      </c>
      <c r="I29" s="119"/>
      <c r="J29" s="118">
        <f>IF(J28&gt;0,J28*$E$7,0)</f>
        <v>176333.11095694453</v>
      </c>
      <c r="K29" s="119"/>
      <c r="L29" s="118">
        <f>IF(L28&gt;0,L28*$E$7,0)</f>
        <v>0</v>
      </c>
      <c r="M29" s="119"/>
      <c r="N29" s="118">
        <f>IF(N28&gt;0,N28*$E$7,0)</f>
        <v>0</v>
      </c>
      <c r="O29" s="120"/>
      <c r="P29" s="118">
        <f>IF(P28&gt;0,P28*$E$7,0)</f>
        <v>136719.43519779443</v>
      </c>
      <c r="Q29" s="127"/>
    </row>
    <row r="30" spans="2:17" x14ac:dyDescent="0.25">
      <c r="B30" s="50"/>
      <c r="C30" s="48" t="s">
        <v>69</v>
      </c>
      <c r="D30" s="15" t="s">
        <v>45</v>
      </c>
      <c r="E30" s="16"/>
      <c r="F30" s="140" t="str">
        <f>F31</f>
        <v>No</v>
      </c>
      <c r="G30" s="119"/>
      <c r="H30" s="140" t="str">
        <f>H31</f>
        <v>No</v>
      </c>
      <c r="I30" s="119"/>
      <c r="J30" s="118">
        <f>J29</f>
        <v>176333.11095694453</v>
      </c>
      <c r="K30" s="141"/>
      <c r="L30" s="140" t="str">
        <f>L31</f>
        <v>No</v>
      </c>
      <c r="M30" s="119"/>
      <c r="N30" s="140" t="str">
        <f>N31</f>
        <v>No</v>
      </c>
      <c r="O30" s="120"/>
      <c r="P30" s="118">
        <f>P29</f>
        <v>136719.43519779443</v>
      </c>
      <c r="Q30" s="142"/>
    </row>
    <row r="31" spans="2:17" ht="15.75" customHeight="1" x14ac:dyDescent="0.25">
      <c r="B31" s="50"/>
      <c r="C31" s="47" t="s">
        <v>68</v>
      </c>
      <c r="D31" s="15" t="s">
        <v>46</v>
      </c>
      <c r="E31" s="14"/>
      <c r="F31" s="118" t="str">
        <f>IF(F29&gt;0,"Yes","No")</f>
        <v>No</v>
      </c>
      <c r="G31" s="119"/>
      <c r="H31" s="118" t="str">
        <f>IF(H29&gt;0,"Yes","No")</f>
        <v>No</v>
      </c>
      <c r="I31" s="119"/>
      <c r="J31" s="118" t="str">
        <f>IF(J29&gt;0,"Yes","No")</f>
        <v>Yes</v>
      </c>
      <c r="K31" s="119"/>
      <c r="L31" s="118" t="str">
        <f>IF(L29&gt;0,"Yes","No")</f>
        <v>No</v>
      </c>
      <c r="M31" s="119"/>
      <c r="N31" s="118" t="str">
        <f>IF(N29&gt;0,"Yes","No")</f>
        <v>No</v>
      </c>
      <c r="O31" s="120"/>
      <c r="P31" s="118" t="str">
        <f>IF(P29&gt;0,"Yes","No")</f>
        <v>Yes</v>
      </c>
      <c r="Q31" s="127"/>
    </row>
    <row r="32" spans="2:17" ht="15.75" customHeight="1" x14ac:dyDescent="0.25">
      <c r="B32" s="50"/>
      <c r="C32" s="12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40"/>
      <c r="Q32" s="28"/>
    </row>
    <row r="33" spans="2:17" ht="33" customHeight="1" x14ac:dyDescent="0.25">
      <c r="B33" s="51"/>
      <c r="C33" s="47" t="s">
        <v>47</v>
      </c>
      <c r="D33" s="15" t="s">
        <v>62</v>
      </c>
      <c r="E33" s="14"/>
      <c r="F33" s="118">
        <f>F24-F29</f>
        <v>7162990.25</v>
      </c>
      <c r="G33" s="141"/>
      <c r="H33" s="118">
        <f>H24-H29</f>
        <v>12549535.369669553</v>
      </c>
      <c r="I33" s="141"/>
      <c r="J33" s="118">
        <f>J24-J29</f>
        <v>14754612.443827782</v>
      </c>
      <c r="K33" s="141"/>
      <c r="L33" s="118">
        <f>L24-L29</f>
        <v>14352659.914326804</v>
      </c>
      <c r="M33" s="141"/>
      <c r="N33" s="118">
        <f>N24-N29</f>
        <v>19624521.074798267</v>
      </c>
      <c r="O33" s="145"/>
      <c r="P33" s="118">
        <f>P24-P29</f>
        <v>21276045.892273262</v>
      </c>
      <c r="Q33" s="142"/>
    </row>
    <row r="34" spans="2:17" ht="29.25" customHeight="1" x14ac:dyDescent="0.25">
      <c r="B34" s="51"/>
      <c r="C34" s="47" t="s">
        <v>10</v>
      </c>
      <c r="D34" s="15" t="s">
        <v>67</v>
      </c>
      <c r="E34" s="14"/>
      <c r="F34" s="143">
        <f>(F33-F13)/F13</f>
        <v>-0.28370097500000002</v>
      </c>
      <c r="G34" s="119"/>
      <c r="H34" s="143">
        <f t="shared" ref="H34" si="16">(H33-H13)/H13</f>
        <v>0.7519967125</v>
      </c>
      <c r="I34" s="119"/>
      <c r="J34" s="143">
        <f>(J33-J13)/J13</f>
        <v>0.17570985771214984</v>
      </c>
      <c r="K34" s="119"/>
      <c r="L34" s="143">
        <f t="shared" ref="L34" si="17">(L33-L13)/L13</f>
        <v>-2.7242499999999982E-2</v>
      </c>
      <c r="M34" s="119"/>
      <c r="N34" s="143">
        <f t="shared" ref="N34" si="18">(N33-N13)/N13</f>
        <v>0.367309</v>
      </c>
      <c r="O34" s="120"/>
      <c r="P34" s="143">
        <f>(P33-P13)/P13</f>
        <v>8.4156184560135655E-2</v>
      </c>
      <c r="Q34" s="144"/>
    </row>
    <row r="35" spans="2:17" ht="15.75" customHeight="1" x14ac:dyDescent="0.25">
      <c r="B35" s="51"/>
      <c r="C35" s="126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0"/>
      <c r="P35" s="40"/>
      <c r="Q35" s="28"/>
    </row>
    <row r="36" spans="2:17" ht="30.75" thickBot="1" x14ac:dyDescent="0.3">
      <c r="B36" s="51"/>
      <c r="C36" s="47" t="s">
        <v>91</v>
      </c>
      <c r="D36" s="53" t="s">
        <v>66</v>
      </c>
      <c r="E36" s="54"/>
      <c r="F36" s="155" t="s">
        <v>79</v>
      </c>
      <c r="G36" s="160"/>
      <c r="H36" s="155" t="s">
        <v>79</v>
      </c>
      <c r="I36" s="160"/>
      <c r="J36" s="155">
        <f>MAX(J33,F13)</f>
        <v>14754612.443827782</v>
      </c>
      <c r="K36" s="160"/>
      <c r="L36" s="155" t="s">
        <v>79</v>
      </c>
      <c r="M36" s="160"/>
      <c r="N36" s="155" t="s">
        <v>79</v>
      </c>
      <c r="O36" s="161"/>
      <c r="P36" s="155">
        <f>MAX(P33,L13)</f>
        <v>21276045.892273262</v>
      </c>
      <c r="Q36" s="156"/>
    </row>
    <row r="37" spans="2:17" ht="15.75" customHeight="1" thickBot="1" x14ac:dyDescent="0.3">
      <c r="B37" s="52" t="s">
        <v>83</v>
      </c>
      <c r="C37" s="152" t="s">
        <v>90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4"/>
    </row>
    <row r="38" spans="2:17" ht="27" customHeight="1" thickBot="1" x14ac:dyDescent="0.3">
      <c r="B38" s="24">
        <v>1</v>
      </c>
      <c r="C38" s="157" t="s">
        <v>81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9"/>
    </row>
    <row r="39" spans="2:17" ht="15.75" customHeight="1" thickBot="1" x14ac:dyDescent="0.3">
      <c r="B39" s="24">
        <f t="shared" ref="B39:B42" si="19">+B38+1</f>
        <v>2</v>
      </c>
      <c r="C39" s="146" t="s">
        <v>82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</row>
    <row r="40" spans="2:17" ht="15.75" customHeight="1" thickBot="1" x14ac:dyDescent="0.3">
      <c r="B40" s="24">
        <f t="shared" si="19"/>
        <v>3</v>
      </c>
      <c r="C40" s="146" t="s">
        <v>53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8"/>
    </row>
    <row r="41" spans="2:17" ht="15.75" customHeight="1" thickBot="1" x14ac:dyDescent="0.3">
      <c r="B41" s="24">
        <f t="shared" si="19"/>
        <v>4</v>
      </c>
      <c r="C41" s="146" t="s">
        <v>77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8"/>
    </row>
    <row r="42" spans="2:17" ht="15.75" customHeight="1" thickBot="1" x14ac:dyDescent="0.3">
      <c r="B42" s="24">
        <f t="shared" si="19"/>
        <v>5</v>
      </c>
      <c r="C42" s="146" t="s">
        <v>54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8"/>
    </row>
    <row r="43" spans="2:17" ht="15.75" customHeight="1" thickBot="1" x14ac:dyDescent="0.3">
      <c r="B43" s="24">
        <v>6</v>
      </c>
      <c r="C43" s="149" t="s">
        <v>96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1"/>
    </row>
  </sheetData>
  <mergeCells count="136">
    <mergeCell ref="C40:Q40"/>
    <mergeCell ref="C41:Q41"/>
    <mergeCell ref="C42:Q42"/>
    <mergeCell ref="C43:Q43"/>
    <mergeCell ref="C37:Q37"/>
    <mergeCell ref="P36:Q36"/>
    <mergeCell ref="C38:Q38"/>
    <mergeCell ref="C35:O35"/>
    <mergeCell ref="F36:G36"/>
    <mergeCell ref="H36:I36"/>
    <mergeCell ref="J36:K36"/>
    <mergeCell ref="L36:M36"/>
    <mergeCell ref="N36:O36"/>
    <mergeCell ref="C39:Q39"/>
    <mergeCell ref="P33:Q33"/>
    <mergeCell ref="F34:G34"/>
    <mergeCell ref="H34:I34"/>
    <mergeCell ref="J34:K34"/>
    <mergeCell ref="L34:M34"/>
    <mergeCell ref="N34:O34"/>
    <mergeCell ref="P34:Q34"/>
    <mergeCell ref="C32:O32"/>
    <mergeCell ref="F33:G33"/>
    <mergeCell ref="H33:I33"/>
    <mergeCell ref="J33:K33"/>
    <mergeCell ref="L33:M33"/>
    <mergeCell ref="N33:O33"/>
    <mergeCell ref="F31:G31"/>
    <mergeCell ref="H31:I31"/>
    <mergeCell ref="J31:K31"/>
    <mergeCell ref="L31:M31"/>
    <mergeCell ref="N31:O31"/>
    <mergeCell ref="P31:Q31"/>
    <mergeCell ref="F30:G30"/>
    <mergeCell ref="H30:I30"/>
    <mergeCell ref="J30:K30"/>
    <mergeCell ref="L30:M30"/>
    <mergeCell ref="N30:O30"/>
    <mergeCell ref="P30:Q30"/>
    <mergeCell ref="F29:G29"/>
    <mergeCell ref="H29:I29"/>
    <mergeCell ref="J29:K29"/>
    <mergeCell ref="L29:M29"/>
    <mergeCell ref="N29:O29"/>
    <mergeCell ref="P29:Q29"/>
    <mergeCell ref="F28:G28"/>
    <mergeCell ref="H28:I28"/>
    <mergeCell ref="J28:K28"/>
    <mergeCell ref="L28:M28"/>
    <mergeCell ref="N28:O28"/>
    <mergeCell ref="P28:Q28"/>
    <mergeCell ref="F27:G27"/>
    <mergeCell ref="H27:I27"/>
    <mergeCell ref="J27:K27"/>
    <mergeCell ref="L27:M27"/>
    <mergeCell ref="N27:O27"/>
    <mergeCell ref="P27:Q27"/>
    <mergeCell ref="F26:G26"/>
    <mergeCell ref="H26:I26"/>
    <mergeCell ref="J26:K26"/>
    <mergeCell ref="L26:M26"/>
    <mergeCell ref="N26:O26"/>
    <mergeCell ref="P26:Q26"/>
    <mergeCell ref="P20:Q20"/>
    <mergeCell ref="F22:G22"/>
    <mergeCell ref="H22:I22"/>
    <mergeCell ref="J22:K22"/>
    <mergeCell ref="L22:M22"/>
    <mergeCell ref="N22:O22"/>
    <mergeCell ref="P24:Q24"/>
    <mergeCell ref="F25:G25"/>
    <mergeCell ref="H25:I25"/>
    <mergeCell ref="J25:K25"/>
    <mergeCell ref="L25:M25"/>
    <mergeCell ref="N25:O25"/>
    <mergeCell ref="P25:Q25"/>
    <mergeCell ref="P22:Q22"/>
    <mergeCell ref="F21:G21"/>
    <mergeCell ref="H21:I21"/>
    <mergeCell ref="J21:K21"/>
    <mergeCell ref="L21:M21"/>
    <mergeCell ref="N21:O21"/>
    <mergeCell ref="P21:Q21"/>
    <mergeCell ref="C23:O23"/>
    <mergeCell ref="F24:G24"/>
    <mergeCell ref="H24:I24"/>
    <mergeCell ref="J24:K24"/>
    <mergeCell ref="P17:Q17"/>
    <mergeCell ref="C18:K18"/>
    <mergeCell ref="L18:M18"/>
    <mergeCell ref="N18:O18"/>
    <mergeCell ref="P18:Q18"/>
    <mergeCell ref="F19:G19"/>
    <mergeCell ref="H19:I19"/>
    <mergeCell ref="J19:K19"/>
    <mergeCell ref="L19:M19"/>
    <mergeCell ref="N19:O19"/>
    <mergeCell ref="P19:Q19"/>
    <mergeCell ref="P15:Q15"/>
    <mergeCell ref="F14:G14"/>
    <mergeCell ref="H14:I14"/>
    <mergeCell ref="J14:K14"/>
    <mergeCell ref="L14:M14"/>
    <mergeCell ref="N14:O14"/>
    <mergeCell ref="P14:Q14"/>
    <mergeCell ref="P11:Q11"/>
    <mergeCell ref="F13:G13"/>
    <mergeCell ref="H13:I13"/>
    <mergeCell ref="J13:K13"/>
    <mergeCell ref="L13:M13"/>
    <mergeCell ref="N13:O13"/>
    <mergeCell ref="P13:Q13"/>
    <mergeCell ref="F15:G15"/>
    <mergeCell ref="H15:I15"/>
    <mergeCell ref="J15:K15"/>
    <mergeCell ref="L15:M15"/>
    <mergeCell ref="N15:O15"/>
    <mergeCell ref="L24:M24"/>
    <mergeCell ref="N24:O24"/>
    <mergeCell ref="F20:G20"/>
    <mergeCell ref="H20:I20"/>
    <mergeCell ref="J20:K20"/>
    <mergeCell ref="L20:M20"/>
    <mergeCell ref="N20:O20"/>
    <mergeCell ref="C11:E12"/>
    <mergeCell ref="F11:G11"/>
    <mergeCell ref="H11:I11"/>
    <mergeCell ref="J11:K11"/>
    <mergeCell ref="L11:M11"/>
    <mergeCell ref="N11:O11"/>
    <mergeCell ref="C16:O16"/>
    <mergeCell ref="F17:G17"/>
    <mergeCell ref="H17:I17"/>
    <mergeCell ref="J17:K17"/>
    <mergeCell ref="L17:M17"/>
    <mergeCell ref="N17:O17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3979-31D0-41BC-908D-037FD6642CF6}">
  <dimension ref="B1:Q43"/>
  <sheetViews>
    <sheetView showGridLines="0" zoomScale="85" zoomScaleNormal="85" workbookViewId="0">
      <selection activeCell="V17" sqref="V17"/>
    </sheetView>
  </sheetViews>
  <sheetFormatPr defaultColWidth="14.42578125" defaultRowHeight="15" customHeight="1" x14ac:dyDescent="0.25"/>
  <cols>
    <col min="2" max="2" width="4.28515625" customWidth="1"/>
    <col min="3" max="3" width="48" customWidth="1"/>
    <col min="4" max="4" width="8" customWidth="1"/>
    <col min="5" max="5" width="14.7109375" customWidth="1"/>
    <col min="6" max="6" width="12.7109375" customWidth="1"/>
    <col min="7" max="7" width="5.7109375" bestFit="1" customWidth="1"/>
    <col min="8" max="8" width="14.7109375" customWidth="1"/>
    <col min="9" max="9" width="6.28515625" customWidth="1"/>
    <col min="10" max="10" width="13.7109375" customWidth="1"/>
    <col min="11" max="11" width="6.28515625" customWidth="1"/>
    <col min="12" max="12" width="13.7109375" customWidth="1"/>
    <col min="13" max="13" width="6.28515625" customWidth="1"/>
    <col min="14" max="14" width="13" customWidth="1"/>
    <col min="15" max="15" width="6.28515625" customWidth="1"/>
    <col min="16" max="16" width="12.42578125" customWidth="1"/>
    <col min="17" max="17" width="4.42578125" customWidth="1"/>
    <col min="18" max="18" width="8.7109375" customWidth="1"/>
    <col min="19" max="19" width="10.42578125" customWidth="1"/>
    <col min="20" max="20" width="8.7109375" customWidth="1"/>
    <col min="21" max="21" width="20.28515625" customWidth="1"/>
    <col min="22" max="26" width="8.7109375" customWidth="1"/>
  </cols>
  <sheetData>
    <row r="1" spans="2:17" ht="15" customHeight="1" thickBot="1" x14ac:dyDescent="0.3"/>
    <row r="2" spans="2:17" ht="31.5" x14ac:dyDescent="0.25">
      <c r="B2" s="49"/>
      <c r="C2" s="76"/>
      <c r="D2" s="77"/>
      <c r="E2" s="92" t="s">
        <v>65</v>
      </c>
      <c r="F2" s="25"/>
      <c r="G2" s="25"/>
      <c r="H2" s="25"/>
      <c r="I2" s="25"/>
      <c r="J2" s="25"/>
      <c r="K2" s="25"/>
      <c r="L2" s="25"/>
      <c r="M2" s="25"/>
      <c r="N2" s="25"/>
      <c r="O2" s="41"/>
      <c r="P2" s="41"/>
      <c r="Q2" s="26"/>
    </row>
    <row r="3" spans="2:17" ht="15.75" x14ac:dyDescent="0.25">
      <c r="B3" s="50"/>
      <c r="C3" s="78" t="s">
        <v>0</v>
      </c>
      <c r="D3" s="79"/>
      <c r="E3" s="80"/>
      <c r="F3" s="10"/>
      <c r="G3" s="10"/>
      <c r="H3" s="10"/>
      <c r="I3" s="10"/>
      <c r="J3" s="10"/>
      <c r="K3" s="10"/>
      <c r="L3" s="10"/>
      <c r="M3" s="10"/>
      <c r="N3" s="10"/>
      <c r="Q3" s="27"/>
    </row>
    <row r="4" spans="2:17" ht="15.75" x14ac:dyDescent="0.25">
      <c r="B4" s="50"/>
      <c r="C4" s="81" t="s">
        <v>2</v>
      </c>
      <c r="D4" s="82" t="s">
        <v>15</v>
      </c>
      <c r="E4" s="83">
        <v>10000000</v>
      </c>
      <c r="F4" s="10"/>
      <c r="G4" s="10"/>
      <c r="H4" s="10"/>
      <c r="I4" s="10"/>
      <c r="J4" s="10"/>
      <c r="K4" s="10"/>
      <c r="L4" s="10"/>
      <c r="M4" s="10"/>
      <c r="N4" s="10"/>
      <c r="Q4" s="27"/>
    </row>
    <row r="5" spans="2:17" ht="15.75" x14ac:dyDescent="0.25">
      <c r="B5" s="50"/>
      <c r="C5" s="81" t="s">
        <v>1</v>
      </c>
      <c r="D5" s="82" t="s">
        <v>16</v>
      </c>
      <c r="E5" s="84">
        <v>0</v>
      </c>
      <c r="F5" s="10"/>
      <c r="G5" s="10"/>
      <c r="H5" s="10"/>
      <c r="I5" s="10"/>
      <c r="J5" s="10"/>
      <c r="K5" s="10"/>
      <c r="L5" s="10"/>
      <c r="M5" s="10"/>
      <c r="N5" s="10"/>
      <c r="Q5" s="27"/>
    </row>
    <row r="6" spans="2:17" ht="15.75" x14ac:dyDescent="0.25">
      <c r="B6" s="50"/>
      <c r="C6" s="81" t="s">
        <v>6</v>
      </c>
      <c r="D6" s="82" t="s">
        <v>17</v>
      </c>
      <c r="E6" s="84">
        <v>2.9999999999999997E-4</v>
      </c>
      <c r="F6" s="10"/>
      <c r="G6" s="10"/>
      <c r="H6" s="10"/>
      <c r="I6" s="10"/>
      <c r="J6" s="10"/>
      <c r="K6" s="10"/>
      <c r="L6" s="10"/>
      <c r="M6" s="10"/>
      <c r="N6" s="10"/>
      <c r="Q6" s="27"/>
    </row>
    <row r="7" spans="2:17" ht="15.75" x14ac:dyDescent="0.25">
      <c r="B7" s="50"/>
      <c r="C7" s="81" t="s">
        <v>38</v>
      </c>
      <c r="D7" s="82" t="s">
        <v>40</v>
      </c>
      <c r="E7" s="84">
        <v>0.2</v>
      </c>
      <c r="F7" s="10"/>
      <c r="G7" s="10"/>
      <c r="H7" s="10"/>
      <c r="I7" s="10"/>
      <c r="J7" s="10"/>
      <c r="K7" s="10"/>
      <c r="L7" s="10"/>
      <c r="M7" s="10"/>
      <c r="N7" s="10"/>
      <c r="Q7" s="27"/>
    </row>
    <row r="8" spans="2:17" ht="15.75" x14ac:dyDescent="0.25">
      <c r="B8" s="50"/>
      <c r="C8" s="81" t="s">
        <v>39</v>
      </c>
      <c r="D8" s="82" t="s">
        <v>41</v>
      </c>
      <c r="E8" s="84">
        <v>0.08</v>
      </c>
      <c r="F8" s="10"/>
      <c r="G8" s="10"/>
      <c r="H8" s="10"/>
      <c r="I8" s="10"/>
      <c r="J8" s="10"/>
      <c r="K8" s="10"/>
      <c r="L8" s="10"/>
      <c r="M8" s="10"/>
      <c r="N8" s="10"/>
      <c r="Q8" s="27"/>
    </row>
    <row r="9" spans="2:17" ht="15.75" x14ac:dyDescent="0.25">
      <c r="B9" s="50"/>
      <c r="C9" s="81" t="s">
        <v>49</v>
      </c>
      <c r="D9" s="82" t="s">
        <v>56</v>
      </c>
      <c r="E9" s="84">
        <v>2E-3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7"/>
    </row>
    <row r="10" spans="2:17" ht="15.75" thickBot="1" x14ac:dyDescent="0.3">
      <c r="B10" s="50"/>
      <c r="C10" s="11"/>
      <c r="D10" s="12"/>
      <c r="E10" s="11"/>
      <c r="F10" s="13"/>
      <c r="G10" s="10"/>
      <c r="H10" s="10"/>
      <c r="I10" s="10"/>
      <c r="J10" s="10"/>
      <c r="K10" s="10"/>
      <c r="L10" s="10"/>
      <c r="M10" s="10"/>
      <c r="N10" s="10"/>
      <c r="O10" s="42"/>
      <c r="P10" s="42"/>
      <c r="Q10" s="43"/>
    </row>
    <row r="11" spans="2:17" ht="15.75" thickBot="1" x14ac:dyDescent="0.3">
      <c r="B11" s="50"/>
      <c r="C11" s="121" t="s">
        <v>74</v>
      </c>
      <c r="D11" s="119"/>
      <c r="E11" s="120"/>
      <c r="F11" s="123" t="s">
        <v>89</v>
      </c>
      <c r="G11" s="124"/>
      <c r="H11" s="123" t="s">
        <v>84</v>
      </c>
      <c r="I11" s="124"/>
      <c r="J11" s="123" t="s">
        <v>85</v>
      </c>
      <c r="K11" s="124"/>
      <c r="L11" s="123" t="s">
        <v>86</v>
      </c>
      <c r="M11" s="124"/>
      <c r="N11" s="123" t="s">
        <v>87</v>
      </c>
      <c r="O11" s="125"/>
      <c r="P11" s="128" t="s">
        <v>88</v>
      </c>
      <c r="Q11" s="129"/>
    </row>
    <row r="12" spans="2:17" ht="15.75" thickBot="1" x14ac:dyDescent="0.3">
      <c r="B12" s="50"/>
      <c r="C12" s="122"/>
      <c r="D12" s="119"/>
      <c r="E12" s="120"/>
      <c r="F12" s="34" t="s">
        <v>64</v>
      </c>
      <c r="G12" s="35">
        <v>-0.26</v>
      </c>
      <c r="H12" s="36" t="s">
        <v>64</v>
      </c>
      <c r="I12" s="37">
        <v>0.79</v>
      </c>
      <c r="J12" s="36" t="s">
        <v>64</v>
      </c>
      <c r="K12" s="37">
        <v>0.22</v>
      </c>
      <c r="L12" s="36" t="s">
        <v>64</v>
      </c>
      <c r="M12" s="37">
        <v>0</v>
      </c>
      <c r="N12" s="36" t="s">
        <v>64</v>
      </c>
      <c r="O12" s="39">
        <v>0.4</v>
      </c>
      <c r="P12" s="36" t="s">
        <v>64</v>
      </c>
      <c r="Q12" s="38">
        <v>0.12</v>
      </c>
    </row>
    <row r="13" spans="2:17" x14ac:dyDescent="0.25">
      <c r="B13" s="50"/>
      <c r="C13" s="47" t="s">
        <v>73</v>
      </c>
      <c r="D13" s="15" t="s">
        <v>19</v>
      </c>
      <c r="E13" s="17" t="s">
        <v>29</v>
      </c>
      <c r="F13" s="130">
        <f>E4</f>
        <v>10000000</v>
      </c>
      <c r="G13" s="131"/>
      <c r="H13" s="130">
        <f>F33</f>
        <v>7379990</v>
      </c>
      <c r="I13" s="131"/>
      <c r="J13" s="130">
        <f>H33</f>
        <v>13186503.402085001</v>
      </c>
      <c r="K13" s="131"/>
      <c r="L13" s="130">
        <f>J33</f>
        <v>15362519.205886543</v>
      </c>
      <c r="M13" s="131"/>
      <c r="N13" s="130">
        <f>L33</f>
        <v>15327185.411713004</v>
      </c>
      <c r="O13" s="132"/>
      <c r="P13" s="130">
        <f>N33</f>
        <v>21415756.544661876</v>
      </c>
      <c r="Q13" s="133"/>
    </row>
    <row r="14" spans="2:17" x14ac:dyDescent="0.25">
      <c r="B14" s="50"/>
      <c r="C14" s="47" t="s">
        <v>33</v>
      </c>
      <c r="D14" s="15" t="s">
        <v>20</v>
      </c>
      <c r="E14" s="17" t="s">
        <v>30</v>
      </c>
      <c r="F14" s="118">
        <f>F13*G$12</f>
        <v>-2600000</v>
      </c>
      <c r="G14" s="119"/>
      <c r="H14" s="118">
        <f>H13*I$12</f>
        <v>5830192.1000000006</v>
      </c>
      <c r="I14" s="119"/>
      <c r="J14" s="118">
        <f>J13*K$12</f>
        <v>2901030.7484587003</v>
      </c>
      <c r="K14" s="119"/>
      <c r="L14" s="118">
        <f>L13*M$12</f>
        <v>0</v>
      </c>
      <c r="M14" s="119"/>
      <c r="N14" s="118">
        <f>N13*O$12</f>
        <v>6130874.1646852018</v>
      </c>
      <c r="O14" s="120"/>
      <c r="P14" s="118">
        <f>P13*Q$12</f>
        <v>2569890.785359425</v>
      </c>
      <c r="Q14" s="127"/>
    </row>
    <row r="15" spans="2:17" x14ac:dyDescent="0.25">
      <c r="B15" s="50"/>
      <c r="C15" s="47" t="s">
        <v>7</v>
      </c>
      <c r="D15" s="15" t="s">
        <v>21</v>
      </c>
      <c r="E15" s="17" t="s">
        <v>31</v>
      </c>
      <c r="F15" s="118">
        <f>F13+F14</f>
        <v>7400000</v>
      </c>
      <c r="G15" s="119"/>
      <c r="H15" s="118">
        <f>H13+H14</f>
        <v>13210182.100000001</v>
      </c>
      <c r="I15" s="119"/>
      <c r="J15" s="118">
        <f>J13+J14</f>
        <v>16087534.150543701</v>
      </c>
      <c r="K15" s="119"/>
      <c r="L15" s="118">
        <f>L13+L14</f>
        <v>15362519.205886543</v>
      </c>
      <c r="M15" s="119"/>
      <c r="N15" s="118">
        <f>N13+N14</f>
        <v>21458059.576398205</v>
      </c>
      <c r="O15" s="120"/>
      <c r="P15" s="118">
        <f>P13+P14</f>
        <v>23985647.330021299</v>
      </c>
      <c r="Q15" s="127"/>
    </row>
    <row r="16" spans="2:17" x14ac:dyDescent="0.25">
      <c r="B16" s="50"/>
      <c r="C16" s="126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40"/>
      <c r="Q16" s="28"/>
    </row>
    <row r="17" spans="2:17" x14ac:dyDescent="0.25">
      <c r="B17" s="50"/>
      <c r="C17" s="47" t="s">
        <v>18</v>
      </c>
      <c r="D17" s="15" t="s">
        <v>22</v>
      </c>
      <c r="E17" s="7" t="s">
        <v>32</v>
      </c>
      <c r="F17" s="118">
        <f>(F13+F15)/2</f>
        <v>8700000</v>
      </c>
      <c r="G17" s="119"/>
      <c r="H17" s="118">
        <f>(H13+H15)/2</f>
        <v>10295086.050000001</v>
      </c>
      <c r="I17" s="119"/>
      <c r="J17" s="118">
        <f>(J13+J15)/2</f>
        <v>14637018.776314352</v>
      </c>
      <c r="K17" s="119"/>
      <c r="L17" s="118">
        <f>(L13+L15)/2</f>
        <v>15362519.205886543</v>
      </c>
      <c r="M17" s="119"/>
      <c r="N17" s="118">
        <f>(N13+N15)/2</f>
        <v>18392622.494055606</v>
      </c>
      <c r="O17" s="120"/>
      <c r="P17" s="118">
        <f>(P13+P15)/2</f>
        <v>22700701.937341586</v>
      </c>
      <c r="Q17" s="127"/>
    </row>
    <row r="18" spans="2:17" x14ac:dyDescent="0.25">
      <c r="B18" s="50"/>
      <c r="C18" s="126"/>
      <c r="D18" s="119"/>
      <c r="E18" s="119"/>
      <c r="F18" s="119"/>
      <c r="G18" s="119"/>
      <c r="H18" s="119"/>
      <c r="I18" s="119"/>
      <c r="J18" s="119"/>
      <c r="K18" s="119"/>
      <c r="L18" s="134"/>
      <c r="M18" s="135"/>
      <c r="N18" s="134"/>
      <c r="O18" s="136"/>
      <c r="P18" s="134"/>
      <c r="Q18" s="137"/>
    </row>
    <row r="19" spans="2:17" x14ac:dyDescent="0.25">
      <c r="B19" s="50"/>
      <c r="C19" s="47" t="s">
        <v>34</v>
      </c>
      <c r="D19" s="15" t="s">
        <v>23</v>
      </c>
      <c r="E19" s="17" t="s">
        <v>48</v>
      </c>
      <c r="F19" s="118">
        <f>F17*-$E$6</f>
        <v>-2609.9999999999995</v>
      </c>
      <c r="G19" s="119"/>
      <c r="H19" s="118">
        <f t="shared" ref="H19" si="0">H17*-$E$6</f>
        <v>-3088.525815</v>
      </c>
      <c r="I19" s="119"/>
      <c r="J19" s="118">
        <f t="shared" ref="J19" si="1">J17*-$E$6</f>
        <v>-4391.105632894305</v>
      </c>
      <c r="K19" s="119"/>
      <c r="L19" s="118">
        <f t="shared" ref="L19" si="2">L17*-$E$6</f>
        <v>-4608.7557617659622</v>
      </c>
      <c r="M19" s="119"/>
      <c r="N19" s="118">
        <f t="shared" ref="N19:P19" si="3">N17*-$E$6</f>
        <v>-5517.7867482166812</v>
      </c>
      <c r="O19" s="120"/>
      <c r="P19" s="118">
        <f t="shared" si="3"/>
        <v>-6810.2105812024747</v>
      </c>
      <c r="Q19" s="127"/>
    </row>
    <row r="20" spans="2:17" x14ac:dyDescent="0.25">
      <c r="B20" s="50"/>
      <c r="C20" s="47" t="s">
        <v>49</v>
      </c>
      <c r="D20" s="15" t="s">
        <v>24</v>
      </c>
      <c r="E20" s="17" t="s">
        <v>57</v>
      </c>
      <c r="F20" s="118">
        <f>F17*-$E$9</f>
        <v>-17400</v>
      </c>
      <c r="G20" s="119"/>
      <c r="H20" s="118">
        <f t="shared" ref="H20" si="4">H17*-$E$9</f>
        <v>-20590.172100000003</v>
      </c>
      <c r="I20" s="119"/>
      <c r="J20" s="118">
        <f t="shared" ref="J20" si="5">J17*-$E$9</f>
        <v>-29274.037552628703</v>
      </c>
      <c r="K20" s="119"/>
      <c r="L20" s="118">
        <f t="shared" ref="L20" si="6">L17*-$E$9</f>
        <v>-30725.038411773086</v>
      </c>
      <c r="M20" s="119"/>
      <c r="N20" s="118">
        <f t="shared" ref="N20:P20" si="7">N17*-$E$9</f>
        <v>-36785.244988111212</v>
      </c>
      <c r="O20" s="120"/>
      <c r="P20" s="118">
        <f t="shared" si="7"/>
        <v>-45401.403874683172</v>
      </c>
      <c r="Q20" s="127"/>
    </row>
    <row r="21" spans="2:17" ht="30" x14ac:dyDescent="0.25">
      <c r="B21" s="50"/>
      <c r="C21" s="47" t="s">
        <v>35</v>
      </c>
      <c r="D21" s="15" t="s">
        <v>25</v>
      </c>
      <c r="E21" s="14" t="s">
        <v>51</v>
      </c>
      <c r="F21" s="118">
        <f>(F17+F19+F20)*-$E$5</f>
        <v>0</v>
      </c>
      <c r="G21" s="119"/>
      <c r="H21" s="118">
        <f t="shared" ref="H21" si="8">(H17+H19+H20)*-$E$5</f>
        <v>0</v>
      </c>
      <c r="I21" s="119"/>
      <c r="J21" s="118">
        <f t="shared" ref="J21" si="9">(J17+J19+J20)*-$E$5</f>
        <v>0</v>
      </c>
      <c r="K21" s="119"/>
      <c r="L21" s="118">
        <f t="shared" ref="L21" si="10">(L17+L19+L20)*-$E$5</f>
        <v>0</v>
      </c>
      <c r="M21" s="119"/>
      <c r="N21" s="118">
        <f t="shared" ref="N21:P21" si="11">(N17+N19+N20)*-$E$5</f>
        <v>0</v>
      </c>
      <c r="O21" s="120"/>
      <c r="P21" s="118">
        <f t="shared" si="11"/>
        <v>0</v>
      </c>
      <c r="Q21" s="127"/>
    </row>
    <row r="22" spans="2:17" ht="15.75" customHeight="1" x14ac:dyDescent="0.25">
      <c r="B22" s="50"/>
      <c r="C22" s="47" t="s">
        <v>75</v>
      </c>
      <c r="D22" s="15" t="s">
        <v>26</v>
      </c>
      <c r="E22" s="14" t="s">
        <v>52</v>
      </c>
      <c r="F22" s="118">
        <f>F19+F20+F21</f>
        <v>-20010</v>
      </c>
      <c r="G22" s="119"/>
      <c r="H22" s="118">
        <f t="shared" ref="H22" si="12">H19+H20+H21</f>
        <v>-23678.697915000004</v>
      </c>
      <c r="I22" s="119"/>
      <c r="J22" s="118">
        <f t="shared" ref="J22" si="13">J19+J20+J21</f>
        <v>-33665.143185523004</v>
      </c>
      <c r="K22" s="119"/>
      <c r="L22" s="118">
        <f t="shared" ref="L22" si="14">L19+L20+L21</f>
        <v>-35333.794173539049</v>
      </c>
      <c r="M22" s="119"/>
      <c r="N22" s="118">
        <f t="shared" ref="N22:P22" si="15">N19+N20+N21</f>
        <v>-42303.031736327895</v>
      </c>
      <c r="O22" s="120"/>
      <c r="P22" s="118">
        <f t="shared" si="15"/>
        <v>-52211.614455885647</v>
      </c>
      <c r="Q22" s="127"/>
    </row>
    <row r="23" spans="2:17" ht="15.75" customHeight="1" x14ac:dyDescent="0.25">
      <c r="B23" s="50"/>
      <c r="C23" s="126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40"/>
      <c r="Q23" s="28"/>
    </row>
    <row r="24" spans="2:17" ht="27.75" customHeight="1" x14ac:dyDescent="0.25">
      <c r="B24" s="50"/>
      <c r="C24" s="47" t="s">
        <v>76</v>
      </c>
      <c r="D24" s="15" t="s">
        <v>27</v>
      </c>
      <c r="E24" s="5" t="s">
        <v>58</v>
      </c>
      <c r="F24" s="118">
        <f>F15+F22</f>
        <v>7379990</v>
      </c>
      <c r="G24" s="119"/>
      <c r="H24" s="118">
        <f>H15+H22</f>
        <v>13186503.402085001</v>
      </c>
      <c r="I24" s="119"/>
      <c r="J24" s="118">
        <f>J15+J22</f>
        <v>16053869.007358178</v>
      </c>
      <c r="K24" s="119"/>
      <c r="L24" s="118">
        <f>L15+L22</f>
        <v>15327185.411713004</v>
      </c>
      <c r="M24" s="119"/>
      <c r="N24" s="118">
        <f>N15+N22</f>
        <v>21415756.544661876</v>
      </c>
      <c r="O24" s="120"/>
      <c r="P24" s="118">
        <f>P15+P22</f>
        <v>23933435.715565413</v>
      </c>
      <c r="Q24" s="127"/>
    </row>
    <row r="25" spans="2:17" ht="45" x14ac:dyDescent="0.25">
      <c r="B25" s="50"/>
      <c r="C25" s="47" t="s">
        <v>61</v>
      </c>
      <c r="D25" s="15" t="s">
        <v>28</v>
      </c>
      <c r="E25" s="14"/>
      <c r="F25" s="118" t="s">
        <v>79</v>
      </c>
      <c r="G25" s="119"/>
      <c r="H25" s="118" t="s">
        <v>79</v>
      </c>
      <c r="I25" s="119"/>
      <c r="J25" s="118">
        <f>MAX(J24,F13)</f>
        <v>16053869.007358178</v>
      </c>
      <c r="K25" s="119"/>
      <c r="L25" s="118" t="s">
        <v>79</v>
      </c>
      <c r="M25" s="119"/>
      <c r="N25" s="118" t="s">
        <v>79</v>
      </c>
      <c r="O25" s="120"/>
      <c r="P25" s="118">
        <f>MAX(P24,L13)</f>
        <v>23933435.715565413</v>
      </c>
      <c r="Q25" s="127"/>
    </row>
    <row r="26" spans="2:17" ht="15.75" customHeight="1" x14ac:dyDescent="0.25">
      <c r="B26" s="50"/>
      <c r="C26" s="48" t="s">
        <v>71</v>
      </c>
      <c r="D26" s="15" t="s">
        <v>42</v>
      </c>
      <c r="E26" s="9" t="s">
        <v>60</v>
      </c>
      <c r="F26" s="138">
        <v>0</v>
      </c>
      <c r="G26" s="139"/>
      <c r="H26" s="138">
        <v>0</v>
      </c>
      <c r="I26" s="139"/>
      <c r="J26" s="118">
        <f>(F13*(1+$E$8)^3)</f>
        <v>12597120.000000002</v>
      </c>
      <c r="K26" s="119"/>
      <c r="L26" s="118">
        <v>0</v>
      </c>
      <c r="M26" s="119"/>
      <c r="N26" s="118">
        <v>0</v>
      </c>
      <c r="O26" s="120"/>
      <c r="P26" s="118">
        <f>(L13*(1+$E$8)^3)</f>
        <v>19352349.793885753</v>
      </c>
      <c r="Q26" s="127"/>
    </row>
    <row r="27" spans="2:17" ht="15.75" customHeight="1" x14ac:dyDescent="0.25">
      <c r="B27" s="50"/>
      <c r="C27" s="48"/>
      <c r="D27" s="15"/>
      <c r="E27" s="16"/>
      <c r="F27" s="118"/>
      <c r="G27" s="119"/>
      <c r="H27" s="134"/>
      <c r="I27" s="135"/>
      <c r="J27" s="134"/>
      <c r="K27" s="135"/>
      <c r="L27" s="134"/>
      <c r="M27" s="135"/>
      <c r="N27" s="134"/>
      <c r="O27" s="136"/>
      <c r="P27" s="134"/>
      <c r="Q27" s="137"/>
    </row>
    <row r="28" spans="2:17" ht="15.75" customHeight="1" x14ac:dyDescent="0.25">
      <c r="B28" s="50"/>
      <c r="C28" s="47" t="s">
        <v>72</v>
      </c>
      <c r="D28" s="15" t="s">
        <v>43</v>
      </c>
      <c r="E28" s="14"/>
      <c r="F28" s="118">
        <f>IF((F13+F26)-F15&gt;0,0,((F13+F26)-F15))</f>
        <v>0</v>
      </c>
      <c r="G28" s="119"/>
      <c r="H28" s="118">
        <f>IF((H13+H26)-H15&gt;0,0,H15-MIN(F25,H15))</f>
        <v>0</v>
      </c>
      <c r="I28" s="119"/>
      <c r="J28" s="118">
        <f>MAX(0, (J24-J26))</f>
        <v>3456749.0073581766</v>
      </c>
      <c r="K28" s="119"/>
      <c r="L28" s="118">
        <f>IF((L13+L26)-L15&gt;0,0,L15-MIN(J25,L15))</f>
        <v>0</v>
      </c>
      <c r="M28" s="119"/>
      <c r="N28" s="118">
        <f>IF((N13+N26)-N15&gt;0,0,N15-MIN(L25,N15))</f>
        <v>0</v>
      </c>
      <c r="O28" s="120"/>
      <c r="P28" s="118">
        <f>MAX(0,(P24-P26))</f>
        <v>4581085.9216796607</v>
      </c>
      <c r="Q28" s="127"/>
    </row>
    <row r="29" spans="2:17" ht="15.75" customHeight="1" x14ac:dyDescent="0.25">
      <c r="B29" s="50"/>
      <c r="C29" s="48" t="s">
        <v>70</v>
      </c>
      <c r="D29" s="15" t="s">
        <v>44</v>
      </c>
      <c r="E29" s="16"/>
      <c r="F29" s="118">
        <f>IF(F28&gt;0,F28*$E$7,0)</f>
        <v>0</v>
      </c>
      <c r="G29" s="119"/>
      <c r="H29" s="118">
        <v>0</v>
      </c>
      <c r="I29" s="119"/>
      <c r="J29" s="118">
        <f>IF(J28&gt;0,J28*$E$7,0)</f>
        <v>691349.80147163535</v>
      </c>
      <c r="K29" s="119"/>
      <c r="L29" s="118">
        <f>IF(L28&gt;0,L28*$E$7,0)</f>
        <v>0</v>
      </c>
      <c r="M29" s="119"/>
      <c r="N29" s="118">
        <f>IF(N28&gt;0,N28*$E$7,0)</f>
        <v>0</v>
      </c>
      <c r="O29" s="120"/>
      <c r="P29" s="118">
        <f>IF(P28&gt;0,P28*$E$7,0)</f>
        <v>916217.18433593214</v>
      </c>
      <c r="Q29" s="127"/>
    </row>
    <row r="30" spans="2:17" x14ac:dyDescent="0.25">
      <c r="B30" s="50"/>
      <c r="C30" s="48" t="s">
        <v>69</v>
      </c>
      <c r="D30" s="15" t="s">
        <v>45</v>
      </c>
      <c r="E30" s="16"/>
      <c r="F30" s="140" t="str">
        <f>F31</f>
        <v>No</v>
      </c>
      <c r="G30" s="119"/>
      <c r="H30" s="140" t="str">
        <f>H31</f>
        <v>No</v>
      </c>
      <c r="I30" s="119"/>
      <c r="J30" s="118">
        <f>J29</f>
        <v>691349.80147163535</v>
      </c>
      <c r="K30" s="141"/>
      <c r="L30" s="140" t="str">
        <f>L31</f>
        <v>No</v>
      </c>
      <c r="M30" s="119"/>
      <c r="N30" s="140" t="str">
        <f>N31</f>
        <v>No</v>
      </c>
      <c r="O30" s="120"/>
      <c r="P30" s="118">
        <f>P29</f>
        <v>916217.18433593214</v>
      </c>
      <c r="Q30" s="142"/>
    </row>
    <row r="31" spans="2:17" ht="15.75" customHeight="1" x14ac:dyDescent="0.25">
      <c r="B31" s="50"/>
      <c r="C31" s="47" t="s">
        <v>68</v>
      </c>
      <c r="D31" s="15" t="s">
        <v>46</v>
      </c>
      <c r="E31" s="14"/>
      <c r="F31" s="118" t="str">
        <f>IF(F29&gt;0,"Yes","No")</f>
        <v>No</v>
      </c>
      <c r="G31" s="119"/>
      <c r="H31" s="118" t="str">
        <f>IF(H29&gt;0,"Yes","No")</f>
        <v>No</v>
      </c>
      <c r="I31" s="119"/>
      <c r="J31" s="118" t="str">
        <f>IF(J29&gt;0,"Yes","No")</f>
        <v>Yes</v>
      </c>
      <c r="K31" s="119"/>
      <c r="L31" s="118" t="str">
        <f>IF(L29&gt;0,"Yes","No")</f>
        <v>No</v>
      </c>
      <c r="M31" s="119"/>
      <c r="N31" s="118" t="str">
        <f>IF(N29&gt;0,"Yes","No")</f>
        <v>No</v>
      </c>
      <c r="O31" s="120"/>
      <c r="P31" s="118" t="str">
        <f>IF(P29&gt;0,"Yes","No")</f>
        <v>Yes</v>
      </c>
      <c r="Q31" s="127"/>
    </row>
    <row r="32" spans="2:17" ht="15.75" customHeight="1" x14ac:dyDescent="0.25">
      <c r="B32" s="50"/>
      <c r="C32" s="12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40"/>
      <c r="Q32" s="28"/>
    </row>
    <row r="33" spans="2:17" ht="33" customHeight="1" x14ac:dyDescent="0.25">
      <c r="B33" s="51"/>
      <c r="C33" s="47" t="s">
        <v>47</v>
      </c>
      <c r="D33" s="15" t="s">
        <v>62</v>
      </c>
      <c r="E33" s="14"/>
      <c r="F33" s="118">
        <f>F24-F29</f>
        <v>7379990</v>
      </c>
      <c r="G33" s="141"/>
      <c r="H33" s="118">
        <f>H24-H29</f>
        <v>13186503.402085001</v>
      </c>
      <c r="I33" s="141"/>
      <c r="J33" s="118">
        <f>J24-J29</f>
        <v>15362519.205886543</v>
      </c>
      <c r="K33" s="141"/>
      <c r="L33" s="118">
        <f>L24-L29</f>
        <v>15327185.411713004</v>
      </c>
      <c r="M33" s="141"/>
      <c r="N33" s="118">
        <f>N24-N29</f>
        <v>21415756.544661876</v>
      </c>
      <c r="O33" s="145"/>
      <c r="P33" s="118">
        <f>P24-P29</f>
        <v>23017218.531229481</v>
      </c>
      <c r="Q33" s="142"/>
    </row>
    <row r="34" spans="2:17" ht="29.25" customHeight="1" x14ac:dyDescent="0.25">
      <c r="B34" s="51"/>
      <c r="C34" s="47" t="s">
        <v>10</v>
      </c>
      <c r="D34" s="15" t="s">
        <v>67</v>
      </c>
      <c r="E34" s="14"/>
      <c r="F34" s="143">
        <f>(F33-F13)/F13</f>
        <v>-0.26200099999999998</v>
      </c>
      <c r="G34" s="119"/>
      <c r="H34" s="143">
        <f t="shared" ref="H34" si="16">(H33-H13)/H13</f>
        <v>0.78679150000000009</v>
      </c>
      <c r="I34" s="119"/>
      <c r="J34" s="143">
        <f>(J33-J13)/J13</f>
        <v>0.16501840840214538</v>
      </c>
      <c r="K34" s="119"/>
      <c r="L34" s="143">
        <f t="shared" ref="L34" si="17">(L33-L13)/L13</f>
        <v>-2.2999999999999765E-3</v>
      </c>
      <c r="M34" s="119"/>
      <c r="N34" s="143">
        <f t="shared" ref="N34" si="18">(N33-N13)/N13</f>
        <v>0.39723999999999987</v>
      </c>
      <c r="O34" s="120"/>
      <c r="P34" s="143">
        <f>(P33-P13)/P13</f>
        <v>7.4779613002594961E-2</v>
      </c>
      <c r="Q34" s="127"/>
    </row>
    <row r="35" spans="2:17" ht="15.75" customHeight="1" x14ac:dyDescent="0.25">
      <c r="B35" s="51"/>
      <c r="C35" s="126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0"/>
      <c r="P35" s="40"/>
      <c r="Q35" s="28"/>
    </row>
    <row r="36" spans="2:17" ht="30.75" thickBot="1" x14ac:dyDescent="0.3">
      <c r="B36" s="55"/>
      <c r="C36" s="47" t="s">
        <v>91</v>
      </c>
      <c r="D36" s="15" t="s">
        <v>66</v>
      </c>
      <c r="E36" s="14"/>
      <c r="F36" s="118" t="s">
        <v>79</v>
      </c>
      <c r="G36" s="119"/>
      <c r="H36" s="118" t="s">
        <v>79</v>
      </c>
      <c r="I36" s="119"/>
      <c r="J36" s="118">
        <f>MAX(J33,F13)</f>
        <v>15362519.205886543</v>
      </c>
      <c r="K36" s="119"/>
      <c r="L36" s="118" t="s">
        <v>79</v>
      </c>
      <c r="M36" s="119"/>
      <c r="N36" s="118" t="s">
        <v>79</v>
      </c>
      <c r="O36" s="120"/>
      <c r="P36" s="118">
        <f>MAX(P33,L13)</f>
        <v>23017218.531229481</v>
      </c>
      <c r="Q36" s="127"/>
    </row>
    <row r="37" spans="2:17" ht="15" customHeight="1" thickBot="1" x14ac:dyDescent="0.3">
      <c r="B37" s="52" t="s">
        <v>83</v>
      </c>
      <c r="C37" s="152" t="s">
        <v>90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4"/>
    </row>
    <row r="38" spans="2:17" ht="15" customHeight="1" thickBot="1" x14ac:dyDescent="0.3">
      <c r="B38" s="24">
        <v>1</v>
      </c>
      <c r="C38" s="157" t="s">
        <v>81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9"/>
    </row>
    <row r="39" spans="2:17" ht="15" customHeight="1" thickBot="1" x14ac:dyDescent="0.3">
      <c r="B39" s="24">
        <f t="shared" ref="B39:B42" si="19">+B38+1</f>
        <v>2</v>
      </c>
      <c r="C39" s="146" t="s">
        <v>82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</row>
    <row r="40" spans="2:17" ht="15" customHeight="1" thickBot="1" x14ac:dyDescent="0.3">
      <c r="B40" s="24">
        <f t="shared" si="19"/>
        <v>3</v>
      </c>
      <c r="C40" s="146" t="s">
        <v>53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8"/>
    </row>
    <row r="41" spans="2:17" ht="15" customHeight="1" thickBot="1" x14ac:dyDescent="0.3">
      <c r="B41" s="24">
        <f t="shared" si="19"/>
        <v>4</v>
      </c>
      <c r="C41" s="146" t="s">
        <v>77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8"/>
    </row>
    <row r="42" spans="2:17" ht="15" customHeight="1" thickBot="1" x14ac:dyDescent="0.3">
      <c r="B42" s="24">
        <f t="shared" si="19"/>
        <v>5</v>
      </c>
      <c r="C42" s="146" t="s">
        <v>54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8"/>
    </row>
    <row r="43" spans="2:17" ht="15" customHeight="1" thickBot="1" x14ac:dyDescent="0.3">
      <c r="B43" s="24">
        <v>6</v>
      </c>
      <c r="C43" s="149" t="s">
        <v>96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1"/>
    </row>
  </sheetData>
  <mergeCells count="136">
    <mergeCell ref="P36:Q36"/>
    <mergeCell ref="C35:O35"/>
    <mergeCell ref="F36:G36"/>
    <mergeCell ref="H36:I36"/>
    <mergeCell ref="J36:K36"/>
    <mergeCell ref="L36:M36"/>
    <mergeCell ref="N36:O36"/>
    <mergeCell ref="P33:Q33"/>
    <mergeCell ref="F34:G34"/>
    <mergeCell ref="H34:I34"/>
    <mergeCell ref="J34:K34"/>
    <mergeCell ref="L34:M34"/>
    <mergeCell ref="N34:O34"/>
    <mergeCell ref="P34:Q34"/>
    <mergeCell ref="C32:O32"/>
    <mergeCell ref="F33:G33"/>
    <mergeCell ref="H33:I33"/>
    <mergeCell ref="J33:K33"/>
    <mergeCell ref="L33:M33"/>
    <mergeCell ref="N33:O33"/>
    <mergeCell ref="F31:G31"/>
    <mergeCell ref="H31:I31"/>
    <mergeCell ref="J31:K31"/>
    <mergeCell ref="L31:M31"/>
    <mergeCell ref="N31:O31"/>
    <mergeCell ref="P31:Q31"/>
    <mergeCell ref="F30:G30"/>
    <mergeCell ref="H30:I30"/>
    <mergeCell ref="J30:K30"/>
    <mergeCell ref="L30:M30"/>
    <mergeCell ref="N30:O30"/>
    <mergeCell ref="P30:Q30"/>
    <mergeCell ref="F29:G29"/>
    <mergeCell ref="H29:I29"/>
    <mergeCell ref="J29:K29"/>
    <mergeCell ref="L29:M29"/>
    <mergeCell ref="N29:O29"/>
    <mergeCell ref="P29:Q29"/>
    <mergeCell ref="F28:G28"/>
    <mergeCell ref="H28:I28"/>
    <mergeCell ref="J28:K28"/>
    <mergeCell ref="L28:M28"/>
    <mergeCell ref="N28:O28"/>
    <mergeCell ref="P28:Q28"/>
    <mergeCell ref="F27:G27"/>
    <mergeCell ref="H27:I27"/>
    <mergeCell ref="J27:K27"/>
    <mergeCell ref="L27:M27"/>
    <mergeCell ref="N27:O27"/>
    <mergeCell ref="P27:Q27"/>
    <mergeCell ref="F26:G26"/>
    <mergeCell ref="H26:I26"/>
    <mergeCell ref="J26:K26"/>
    <mergeCell ref="L26:M26"/>
    <mergeCell ref="N26:O26"/>
    <mergeCell ref="P26:Q26"/>
    <mergeCell ref="P20:Q20"/>
    <mergeCell ref="F22:G22"/>
    <mergeCell ref="H22:I22"/>
    <mergeCell ref="J22:K22"/>
    <mergeCell ref="L22:M22"/>
    <mergeCell ref="N22:O22"/>
    <mergeCell ref="P24:Q24"/>
    <mergeCell ref="F25:G25"/>
    <mergeCell ref="H25:I25"/>
    <mergeCell ref="J25:K25"/>
    <mergeCell ref="L25:M25"/>
    <mergeCell ref="N25:O25"/>
    <mergeCell ref="P25:Q25"/>
    <mergeCell ref="P22:Q22"/>
    <mergeCell ref="F21:G21"/>
    <mergeCell ref="H21:I21"/>
    <mergeCell ref="J21:K21"/>
    <mergeCell ref="L21:M21"/>
    <mergeCell ref="N21:O21"/>
    <mergeCell ref="P21:Q21"/>
    <mergeCell ref="P11:Q11"/>
    <mergeCell ref="F13:G13"/>
    <mergeCell ref="H13:I13"/>
    <mergeCell ref="J13:K13"/>
    <mergeCell ref="L13:M13"/>
    <mergeCell ref="N13:O13"/>
    <mergeCell ref="P13:Q13"/>
    <mergeCell ref="F15:G15"/>
    <mergeCell ref="H15:I15"/>
    <mergeCell ref="J15:K15"/>
    <mergeCell ref="L15:M15"/>
    <mergeCell ref="N15:O15"/>
    <mergeCell ref="N24:O24"/>
    <mergeCell ref="F20:G20"/>
    <mergeCell ref="H20:I20"/>
    <mergeCell ref="J20:K20"/>
    <mergeCell ref="P15:Q15"/>
    <mergeCell ref="F14:G14"/>
    <mergeCell ref="H14:I14"/>
    <mergeCell ref="J14:K14"/>
    <mergeCell ref="L14:M14"/>
    <mergeCell ref="N14:O14"/>
    <mergeCell ref="P14:Q14"/>
    <mergeCell ref="P17:Q17"/>
    <mergeCell ref="C18:K18"/>
    <mergeCell ref="L18:M18"/>
    <mergeCell ref="N18:O18"/>
    <mergeCell ref="P18:Q18"/>
    <mergeCell ref="F19:G19"/>
    <mergeCell ref="H19:I19"/>
    <mergeCell ref="J19:K19"/>
    <mergeCell ref="L19:M19"/>
    <mergeCell ref="N19:O19"/>
    <mergeCell ref="P19:Q19"/>
    <mergeCell ref="L20:M20"/>
    <mergeCell ref="N20:O20"/>
    <mergeCell ref="C38:Q38"/>
    <mergeCell ref="C39:Q39"/>
    <mergeCell ref="C40:Q40"/>
    <mergeCell ref="C41:Q41"/>
    <mergeCell ref="C42:Q42"/>
    <mergeCell ref="C43:Q43"/>
    <mergeCell ref="C37:Q37"/>
    <mergeCell ref="C11:E12"/>
    <mergeCell ref="F11:G11"/>
    <mergeCell ref="H11:I11"/>
    <mergeCell ref="J11:K11"/>
    <mergeCell ref="L11:M11"/>
    <mergeCell ref="N11:O11"/>
    <mergeCell ref="C16:O16"/>
    <mergeCell ref="F17:G17"/>
    <mergeCell ref="H17:I17"/>
    <mergeCell ref="J17:K17"/>
    <mergeCell ref="L17:M17"/>
    <mergeCell ref="N17:O17"/>
    <mergeCell ref="C23:O23"/>
    <mergeCell ref="F24:G24"/>
    <mergeCell ref="H24:I24"/>
    <mergeCell ref="J24:K24"/>
    <mergeCell ref="L24:M2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00E4-58CE-4326-94BC-97F8F4DD8767}">
  <dimension ref="B1:Y43"/>
  <sheetViews>
    <sheetView showGridLines="0" tabSelected="1" topLeftCell="A2" zoomScale="85" zoomScaleNormal="85" workbookViewId="0">
      <selection activeCell="F21" sqref="F21:G21"/>
    </sheetView>
  </sheetViews>
  <sheetFormatPr defaultColWidth="14.42578125" defaultRowHeight="15" customHeight="1" x14ac:dyDescent="0.25"/>
  <cols>
    <col min="2" max="2" width="5.7109375" bestFit="1" customWidth="1"/>
    <col min="3" max="3" width="48" customWidth="1"/>
    <col min="4" max="4" width="8" customWidth="1"/>
    <col min="5" max="5" width="14.7109375" customWidth="1"/>
    <col min="6" max="6" width="12.7109375" customWidth="1"/>
    <col min="7" max="7" width="5.7109375" bestFit="1" customWidth="1"/>
    <col min="8" max="8" width="14.7109375" customWidth="1"/>
    <col min="9" max="9" width="6.28515625" customWidth="1"/>
    <col min="10" max="10" width="13.7109375" customWidth="1"/>
    <col min="11" max="11" width="6.28515625" customWidth="1"/>
    <col min="12" max="12" width="13.7109375" customWidth="1"/>
    <col min="13" max="13" width="6.28515625" customWidth="1"/>
    <col min="14" max="14" width="13" customWidth="1"/>
    <col min="15" max="15" width="6.28515625" customWidth="1"/>
    <col min="16" max="16" width="12.42578125" customWidth="1"/>
    <col min="17" max="17" width="4.42578125" customWidth="1"/>
    <col min="18" max="18" width="12" bestFit="1" customWidth="1"/>
    <col min="19" max="19" width="6.140625" customWidth="1"/>
    <col min="20" max="20" width="12" bestFit="1" customWidth="1"/>
    <col min="21" max="21" width="5.42578125" customWidth="1"/>
    <col min="22" max="22" width="12" bestFit="1" customWidth="1"/>
    <col min="23" max="23" width="5.5703125" customWidth="1"/>
    <col min="24" max="24" width="12" bestFit="1" customWidth="1"/>
    <col min="25" max="25" width="4.7109375" customWidth="1"/>
    <col min="26" max="26" width="8.7109375" customWidth="1"/>
  </cols>
  <sheetData>
    <row r="1" spans="2:25" ht="15" customHeight="1" thickBot="1" x14ac:dyDescent="0.3">
      <c r="R1" s="56"/>
      <c r="S1" s="56"/>
      <c r="T1" s="56"/>
      <c r="U1" s="56"/>
      <c r="V1" s="56"/>
      <c r="W1" s="56"/>
      <c r="X1" s="56"/>
      <c r="Y1" s="56"/>
    </row>
    <row r="2" spans="2:25" ht="31.5" x14ac:dyDescent="0.25">
      <c r="B2" s="49"/>
      <c r="C2" s="76"/>
      <c r="D2" s="77"/>
      <c r="E2" s="92" t="s">
        <v>65</v>
      </c>
      <c r="F2" s="25"/>
      <c r="G2" s="25"/>
      <c r="H2" s="25"/>
      <c r="I2" s="25"/>
      <c r="J2" s="25"/>
      <c r="K2" s="25"/>
      <c r="L2" s="25"/>
      <c r="M2" s="25"/>
      <c r="N2" s="25"/>
      <c r="O2" s="41"/>
      <c r="P2" s="41"/>
      <c r="Q2" s="41"/>
      <c r="Y2" s="26"/>
    </row>
    <row r="3" spans="2:25" ht="15.75" x14ac:dyDescent="0.25">
      <c r="B3" s="50"/>
      <c r="C3" s="78" t="s">
        <v>0</v>
      </c>
      <c r="D3" s="79"/>
      <c r="E3" s="80"/>
      <c r="F3" s="10"/>
      <c r="G3" s="10"/>
      <c r="H3" s="10"/>
      <c r="I3" s="10"/>
      <c r="J3" s="10"/>
      <c r="K3" s="10"/>
      <c r="L3" s="10"/>
      <c r="M3" s="10"/>
      <c r="N3" s="10"/>
      <c r="Y3" s="27"/>
    </row>
    <row r="4" spans="2:25" ht="15.75" x14ac:dyDescent="0.25">
      <c r="B4" s="50"/>
      <c r="C4" s="81" t="s">
        <v>2</v>
      </c>
      <c r="D4" s="82" t="s">
        <v>15</v>
      </c>
      <c r="E4" s="83">
        <v>10000000</v>
      </c>
      <c r="F4" s="10"/>
      <c r="G4" s="10"/>
      <c r="H4" s="10"/>
      <c r="I4" s="10"/>
      <c r="J4" s="10"/>
      <c r="K4" s="10"/>
      <c r="L4" s="10"/>
      <c r="M4" s="10"/>
      <c r="N4" s="10"/>
      <c r="Y4" s="27"/>
    </row>
    <row r="5" spans="2:25" ht="15.75" x14ac:dyDescent="0.25">
      <c r="B5" s="50"/>
      <c r="C5" s="81" t="s">
        <v>1</v>
      </c>
      <c r="D5" s="82" t="s">
        <v>16</v>
      </c>
      <c r="E5" s="84">
        <v>0.01</v>
      </c>
      <c r="F5" s="10"/>
      <c r="G5" s="10"/>
      <c r="H5" s="10"/>
      <c r="I5" s="10"/>
      <c r="J5" s="10"/>
      <c r="K5" s="10"/>
      <c r="L5" s="10"/>
      <c r="M5" s="10"/>
      <c r="N5" s="10"/>
      <c r="Y5" s="27"/>
    </row>
    <row r="6" spans="2:25" ht="15.75" x14ac:dyDescent="0.25">
      <c r="B6" s="50"/>
      <c r="C6" s="81" t="s">
        <v>6</v>
      </c>
      <c r="D6" s="82" t="s">
        <v>17</v>
      </c>
      <c r="E6" s="84">
        <v>2.9999999999999997E-4</v>
      </c>
      <c r="F6" s="10"/>
      <c r="G6" s="10"/>
      <c r="H6" s="10"/>
      <c r="I6" s="10"/>
      <c r="J6" s="10"/>
      <c r="K6" s="10"/>
      <c r="L6" s="10"/>
      <c r="M6" s="10"/>
      <c r="N6" s="10"/>
      <c r="Y6" s="27"/>
    </row>
    <row r="7" spans="2:25" ht="15.75" x14ac:dyDescent="0.25">
      <c r="B7" s="50"/>
      <c r="C7" s="81" t="s">
        <v>38</v>
      </c>
      <c r="D7" s="82" t="s">
        <v>40</v>
      </c>
      <c r="E7" s="84">
        <v>0.2</v>
      </c>
      <c r="F7" s="10"/>
      <c r="G7" s="10"/>
      <c r="H7" s="10"/>
      <c r="I7" s="10"/>
      <c r="J7" s="10"/>
      <c r="K7" s="10"/>
      <c r="L7" s="10"/>
      <c r="M7" s="10"/>
      <c r="N7" s="10"/>
      <c r="Y7" s="27"/>
    </row>
    <row r="8" spans="2:25" ht="15.75" x14ac:dyDescent="0.25">
      <c r="B8" s="50"/>
      <c r="C8" s="81" t="s">
        <v>39</v>
      </c>
      <c r="D8" s="82" t="s">
        <v>41</v>
      </c>
      <c r="E8" s="84">
        <v>0.125</v>
      </c>
      <c r="F8" s="10"/>
      <c r="G8" s="10"/>
      <c r="H8" s="10"/>
      <c r="I8" s="10"/>
      <c r="J8" s="10"/>
      <c r="K8" s="10"/>
      <c r="L8" s="10"/>
      <c r="M8" s="10"/>
      <c r="N8" s="10"/>
      <c r="Y8" s="27"/>
    </row>
    <row r="9" spans="2:25" ht="15.75" x14ac:dyDescent="0.25">
      <c r="B9" s="50"/>
      <c r="C9" s="81" t="s">
        <v>49</v>
      </c>
      <c r="D9" s="82" t="s">
        <v>56</v>
      </c>
      <c r="E9" s="84">
        <v>2E-3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Y9" s="27"/>
    </row>
    <row r="10" spans="2:25" ht="15.75" thickBot="1" x14ac:dyDescent="0.3">
      <c r="B10" s="50"/>
      <c r="C10" s="11"/>
      <c r="D10" s="12"/>
      <c r="E10" s="11"/>
      <c r="F10" s="13"/>
      <c r="G10" s="10"/>
      <c r="H10" s="10"/>
      <c r="I10" s="10"/>
      <c r="J10" s="10"/>
      <c r="K10" s="10"/>
      <c r="L10" s="10"/>
      <c r="M10" s="10"/>
      <c r="N10" s="10"/>
      <c r="O10" s="42"/>
      <c r="P10" s="42"/>
      <c r="Q10" s="42"/>
      <c r="Y10" s="57"/>
    </row>
    <row r="11" spans="2:25" ht="15.75" thickBot="1" x14ac:dyDescent="0.3">
      <c r="B11" s="50"/>
      <c r="C11" s="121" t="s">
        <v>74</v>
      </c>
      <c r="D11" s="119"/>
      <c r="E11" s="120"/>
      <c r="F11" s="123" t="s">
        <v>89</v>
      </c>
      <c r="G11" s="124"/>
      <c r="H11" s="123" t="s">
        <v>84</v>
      </c>
      <c r="I11" s="124"/>
      <c r="J11" s="123" t="s">
        <v>85</v>
      </c>
      <c r="K11" s="124"/>
      <c r="L11" s="123" t="s">
        <v>86</v>
      </c>
      <c r="M11" s="124"/>
      <c r="N11" s="123" t="s">
        <v>87</v>
      </c>
      <c r="O11" s="125"/>
      <c r="P11" s="128" t="s">
        <v>88</v>
      </c>
      <c r="Q11" s="129"/>
      <c r="R11" s="123" t="s">
        <v>92</v>
      </c>
      <c r="S11" s="124"/>
      <c r="T11" s="164" t="s">
        <v>93</v>
      </c>
      <c r="U11" s="124"/>
      <c r="V11" s="164" t="s">
        <v>94</v>
      </c>
      <c r="W11" s="124"/>
      <c r="X11" s="164" t="s">
        <v>95</v>
      </c>
      <c r="Y11" s="124"/>
    </row>
    <row r="12" spans="2:25" ht="15.75" thickBot="1" x14ac:dyDescent="0.3">
      <c r="B12" s="50"/>
      <c r="C12" s="178"/>
      <c r="D12" s="160"/>
      <c r="E12" s="161"/>
      <c r="F12" s="64" t="s">
        <v>64</v>
      </c>
      <c r="G12" s="65">
        <v>-0.26</v>
      </c>
      <c r="H12" s="59" t="s">
        <v>64</v>
      </c>
      <c r="I12" s="66">
        <v>0.79</v>
      </c>
      <c r="J12" s="59" t="s">
        <v>64</v>
      </c>
      <c r="K12" s="66">
        <v>0.22</v>
      </c>
      <c r="L12" s="59" t="s">
        <v>64</v>
      </c>
      <c r="M12" s="66">
        <v>0</v>
      </c>
      <c r="N12" s="59" t="s">
        <v>64</v>
      </c>
      <c r="O12" s="67">
        <v>0.4</v>
      </c>
      <c r="P12" s="59" t="s">
        <v>64</v>
      </c>
      <c r="Q12" s="60">
        <v>0.15</v>
      </c>
      <c r="R12" s="59" t="s">
        <v>64</v>
      </c>
      <c r="S12" s="60">
        <v>-0.12</v>
      </c>
      <c r="T12" s="59" t="s">
        <v>64</v>
      </c>
      <c r="U12" s="60">
        <v>0.35</v>
      </c>
      <c r="V12" s="59" t="s">
        <v>64</v>
      </c>
      <c r="W12" s="60">
        <v>-0.05</v>
      </c>
      <c r="X12" s="59" t="s">
        <v>64</v>
      </c>
      <c r="Y12" s="60">
        <v>0.3</v>
      </c>
    </row>
    <row r="13" spans="2:25" x14ac:dyDescent="0.25">
      <c r="B13" s="50"/>
      <c r="C13" s="68" t="s">
        <v>73</v>
      </c>
      <c r="D13" s="69" t="s">
        <v>19</v>
      </c>
      <c r="E13" s="70" t="s">
        <v>29</v>
      </c>
      <c r="F13" s="168">
        <f>E4</f>
        <v>10000000</v>
      </c>
      <c r="G13" s="169"/>
      <c r="H13" s="168">
        <f>F33</f>
        <v>7293190.0999999996</v>
      </c>
      <c r="I13" s="169"/>
      <c r="J13" s="168">
        <f>H33</f>
        <v>12929904.078673508</v>
      </c>
      <c r="K13" s="169"/>
      <c r="L13" s="168">
        <f>J33</f>
        <v>15598281.096046679</v>
      </c>
      <c r="M13" s="169"/>
      <c r="N13" s="168">
        <f>L33</f>
        <v>15406780.999030514</v>
      </c>
      <c r="O13" s="179"/>
      <c r="P13" s="168">
        <f>N33</f>
        <v>20678076.572008334</v>
      </c>
      <c r="Q13" s="166"/>
      <c r="R13" s="168">
        <f>P33</f>
        <v>23506883.455779448</v>
      </c>
      <c r="S13" s="166"/>
      <c r="T13" s="168">
        <f>R33</f>
        <v>20414779.073390506</v>
      </c>
      <c r="U13" s="166"/>
      <c r="V13" s="168">
        <f>T33</f>
        <v>27265458.863923464</v>
      </c>
      <c r="W13" s="169"/>
      <c r="X13" s="165">
        <f>V33</f>
        <v>25575816.333216712</v>
      </c>
      <c r="Y13" s="166"/>
    </row>
    <row r="14" spans="2:25" x14ac:dyDescent="0.25">
      <c r="B14" s="50"/>
      <c r="C14" s="71" t="s">
        <v>33</v>
      </c>
      <c r="D14" s="15" t="s">
        <v>20</v>
      </c>
      <c r="E14" s="17" t="s">
        <v>30</v>
      </c>
      <c r="F14" s="118">
        <f>F13*G$12</f>
        <v>-2600000</v>
      </c>
      <c r="G14" s="119"/>
      <c r="H14" s="118">
        <f>H13*I$12</f>
        <v>5761620.1789999995</v>
      </c>
      <c r="I14" s="119"/>
      <c r="J14" s="118">
        <f>J13*K$12</f>
        <v>2844578.8973081717</v>
      </c>
      <c r="K14" s="119"/>
      <c r="L14" s="118">
        <f>L13*M$12</f>
        <v>0</v>
      </c>
      <c r="M14" s="119"/>
      <c r="N14" s="118">
        <f>N13*O$12</f>
        <v>6162712.399612206</v>
      </c>
      <c r="O14" s="120"/>
      <c r="P14" s="118">
        <f>P13*Q$12</f>
        <v>3101711.4858012502</v>
      </c>
      <c r="Q14" s="127"/>
      <c r="R14" s="118">
        <f>R13*S$12</f>
        <v>-2820826.0146935335</v>
      </c>
      <c r="S14" s="127"/>
      <c r="T14" s="118">
        <f>T13*U$12</f>
        <v>7145172.675686677</v>
      </c>
      <c r="U14" s="127"/>
      <c r="V14" s="118">
        <f>V13*W$12</f>
        <v>-1363272.9431961733</v>
      </c>
      <c r="W14" s="119"/>
      <c r="X14" s="139">
        <f>X13*Y$12</f>
        <v>7672744.8999650134</v>
      </c>
      <c r="Y14" s="127"/>
    </row>
    <row r="15" spans="2:25" x14ac:dyDescent="0.25">
      <c r="B15" s="50"/>
      <c r="C15" s="71" t="s">
        <v>7</v>
      </c>
      <c r="D15" s="15" t="s">
        <v>21</v>
      </c>
      <c r="E15" s="17" t="s">
        <v>31</v>
      </c>
      <c r="F15" s="118">
        <f>F13+F14</f>
        <v>7400000</v>
      </c>
      <c r="G15" s="119"/>
      <c r="H15" s="118">
        <f>H13+H14</f>
        <v>13054810.278999999</v>
      </c>
      <c r="I15" s="119"/>
      <c r="J15" s="118">
        <f>J13+J14</f>
        <v>15774482.975981679</v>
      </c>
      <c r="K15" s="119"/>
      <c r="L15" s="118">
        <f>L13+L14</f>
        <v>15598281.096046679</v>
      </c>
      <c r="M15" s="119"/>
      <c r="N15" s="118">
        <f>N13+N14</f>
        <v>21569493.398642719</v>
      </c>
      <c r="O15" s="120"/>
      <c r="P15" s="118">
        <f>P13+P14</f>
        <v>23779788.057809584</v>
      </c>
      <c r="Q15" s="127"/>
      <c r="R15" s="118">
        <f>R13+R14</f>
        <v>20686057.441085916</v>
      </c>
      <c r="S15" s="127"/>
      <c r="T15" s="118">
        <f>T13+T14</f>
        <v>27559951.749077182</v>
      </c>
      <c r="U15" s="127"/>
      <c r="V15" s="118">
        <f>V13+V14</f>
        <v>25902185.92072729</v>
      </c>
      <c r="W15" s="119"/>
      <c r="X15" s="139">
        <f>X13+X14</f>
        <v>33248561.233181726</v>
      </c>
      <c r="Y15" s="127"/>
    </row>
    <row r="16" spans="2:25" x14ac:dyDescent="0.25">
      <c r="B16" s="50"/>
      <c r="C16" s="176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40"/>
      <c r="Q16" s="28"/>
      <c r="R16" s="40"/>
      <c r="S16" s="28"/>
      <c r="T16" s="40"/>
      <c r="U16" s="28"/>
      <c r="V16" s="40"/>
      <c r="W16" s="58"/>
      <c r="X16" s="10"/>
      <c r="Y16" s="28"/>
    </row>
    <row r="17" spans="2:25" x14ac:dyDescent="0.25">
      <c r="B17" s="50"/>
      <c r="C17" s="71" t="s">
        <v>18</v>
      </c>
      <c r="D17" s="15" t="s">
        <v>22</v>
      </c>
      <c r="E17" s="7" t="s">
        <v>32</v>
      </c>
      <c r="F17" s="118">
        <f>(F13+F15)/2</f>
        <v>8700000</v>
      </c>
      <c r="G17" s="119"/>
      <c r="H17" s="118">
        <f>(H13+H15)/2</f>
        <v>10174000.1895</v>
      </c>
      <c r="I17" s="119"/>
      <c r="J17" s="118">
        <f>(J13+J15)/2</f>
        <v>14352193.527327593</v>
      </c>
      <c r="K17" s="119"/>
      <c r="L17" s="118">
        <f>(L13+L15)/2</f>
        <v>15598281.096046679</v>
      </c>
      <c r="M17" s="119"/>
      <c r="N17" s="118">
        <f>(N13+N15)/2</f>
        <v>18488137.198836617</v>
      </c>
      <c r="O17" s="120"/>
      <c r="P17" s="118">
        <f>(P13+P15)/2</f>
        <v>22228932.314908959</v>
      </c>
      <c r="Q17" s="127"/>
      <c r="R17" s="118">
        <f>(R13+R15)/2</f>
        <v>22096470.448432684</v>
      </c>
      <c r="S17" s="127"/>
      <c r="T17" s="118">
        <f>(T13+T15)/2</f>
        <v>23987365.411233842</v>
      </c>
      <c r="U17" s="127"/>
      <c r="V17" s="118">
        <f>(V13+V15)/2</f>
        <v>26583822.392325379</v>
      </c>
      <c r="W17" s="119"/>
      <c r="X17" s="139">
        <f>(X13+X15)/2</f>
        <v>29412188.783199221</v>
      </c>
      <c r="Y17" s="127"/>
    </row>
    <row r="18" spans="2:25" x14ac:dyDescent="0.25">
      <c r="B18" s="50"/>
      <c r="C18" s="176"/>
      <c r="D18" s="119"/>
      <c r="E18" s="119"/>
      <c r="F18" s="119"/>
      <c r="G18" s="119"/>
      <c r="H18" s="119"/>
      <c r="I18" s="119"/>
      <c r="J18" s="119"/>
      <c r="K18" s="119"/>
      <c r="L18" s="134"/>
      <c r="M18" s="135"/>
      <c r="N18" s="134"/>
      <c r="O18" s="136"/>
      <c r="P18" s="134"/>
      <c r="Q18" s="137"/>
      <c r="R18" s="134"/>
      <c r="S18" s="137"/>
      <c r="T18" s="134"/>
      <c r="U18" s="137"/>
      <c r="V18" s="134"/>
      <c r="W18" s="135"/>
      <c r="X18" s="136"/>
      <c r="Y18" s="137"/>
    </row>
    <row r="19" spans="2:25" x14ac:dyDescent="0.25">
      <c r="B19" s="50"/>
      <c r="C19" s="71" t="s">
        <v>34</v>
      </c>
      <c r="D19" s="15" t="s">
        <v>23</v>
      </c>
      <c r="E19" s="17" t="s">
        <v>48</v>
      </c>
      <c r="F19" s="118">
        <f>F17*-$E$6</f>
        <v>-2609.9999999999995</v>
      </c>
      <c r="G19" s="119"/>
      <c r="H19" s="118">
        <f t="shared" ref="H19" si="0">H17*-$E$6</f>
        <v>-3052.2000568499998</v>
      </c>
      <c r="I19" s="119"/>
      <c r="J19" s="118">
        <f t="shared" ref="J19" si="1">J17*-$E$6</f>
        <v>-4305.658058198278</v>
      </c>
      <c r="K19" s="119"/>
      <c r="L19" s="118">
        <f t="shared" ref="L19" si="2">L17*-$E$6</f>
        <v>-4679.4843288140028</v>
      </c>
      <c r="M19" s="119"/>
      <c r="N19" s="118">
        <f t="shared" ref="N19:P19" si="3">N17*-$E$6</f>
        <v>-5546.4411596509844</v>
      </c>
      <c r="O19" s="120"/>
      <c r="P19" s="118">
        <f t="shared" si="3"/>
        <v>-6668.6796944726875</v>
      </c>
      <c r="Q19" s="127"/>
      <c r="R19" s="118">
        <f t="shared" ref="R19" si="4">R17*-$E$6</f>
        <v>-6628.9411345298049</v>
      </c>
      <c r="S19" s="127"/>
      <c r="T19" s="118">
        <f t="shared" ref="T19" si="5">T17*-$E$6</f>
        <v>-7196.2096233701523</v>
      </c>
      <c r="U19" s="127"/>
      <c r="V19" s="118">
        <f t="shared" ref="V19" si="6">V17*-$E$6</f>
        <v>-7975.146717697613</v>
      </c>
      <c r="W19" s="119"/>
      <c r="X19" s="139">
        <f t="shared" ref="X19" si="7">X17*-$E$6</f>
        <v>-8823.6566349597651</v>
      </c>
      <c r="Y19" s="127"/>
    </row>
    <row r="20" spans="2:25" x14ac:dyDescent="0.25">
      <c r="B20" s="50"/>
      <c r="C20" s="71" t="s">
        <v>49</v>
      </c>
      <c r="D20" s="15" t="s">
        <v>24</v>
      </c>
      <c r="E20" s="17" t="s">
        <v>57</v>
      </c>
      <c r="F20" s="118">
        <f>F17*-$E$9</f>
        <v>-17400</v>
      </c>
      <c r="G20" s="119"/>
      <c r="H20" s="118">
        <f t="shared" ref="H20" si="8">H17*-$E$9</f>
        <v>-20348.000379000001</v>
      </c>
      <c r="I20" s="119"/>
      <c r="J20" s="118">
        <f t="shared" ref="J20" si="9">J17*-$E$9</f>
        <v>-28704.387054655188</v>
      </c>
      <c r="K20" s="119"/>
      <c r="L20" s="118">
        <f t="shared" ref="L20" si="10">L17*-$E$9</f>
        <v>-31196.562192093359</v>
      </c>
      <c r="M20" s="119"/>
      <c r="N20" s="118">
        <f t="shared" ref="N20:P20" si="11">N17*-$E$9</f>
        <v>-36976.274397673238</v>
      </c>
      <c r="O20" s="120"/>
      <c r="P20" s="118">
        <f t="shared" si="11"/>
        <v>-44457.864629817916</v>
      </c>
      <c r="Q20" s="127"/>
      <c r="R20" s="118">
        <f t="shared" ref="R20" si="12">R17*-$E$9</f>
        <v>-44192.940896865366</v>
      </c>
      <c r="S20" s="127"/>
      <c r="T20" s="118">
        <f t="shared" ref="T20" si="13">T17*-$E$9</f>
        <v>-47974.730822467689</v>
      </c>
      <c r="U20" s="127"/>
      <c r="V20" s="118">
        <f t="shared" ref="V20" si="14">V17*-$E$9</f>
        <v>-53167.644784650758</v>
      </c>
      <c r="W20" s="119"/>
      <c r="X20" s="139">
        <f t="shared" ref="X20" si="15">X17*-$E$9</f>
        <v>-58824.377566398442</v>
      </c>
      <c r="Y20" s="127"/>
    </row>
    <row r="21" spans="2:25" ht="30" x14ac:dyDescent="0.25">
      <c r="B21" s="50"/>
      <c r="C21" s="71" t="s">
        <v>35</v>
      </c>
      <c r="D21" s="15" t="s">
        <v>25</v>
      </c>
      <c r="E21" s="14" t="s">
        <v>51</v>
      </c>
      <c r="F21" s="118">
        <f>(F17+F19+F20)*-$E$5</f>
        <v>-86799.900000000009</v>
      </c>
      <c r="G21" s="119"/>
      <c r="H21" s="118">
        <f t="shared" ref="H21" si="16">(H17+H19+H20)*-$E$5</f>
        <v>-101505.9998906415</v>
      </c>
      <c r="I21" s="119"/>
      <c r="J21" s="118">
        <f t="shared" ref="J21" si="17">(J17+J19+J20)*-$E$5</f>
        <v>-143191.83482214739</v>
      </c>
      <c r="K21" s="119"/>
      <c r="L21" s="118">
        <f t="shared" ref="L21" si="18">(L17+L19+L20)*-$E$5</f>
        <v>-155624.05049525772</v>
      </c>
      <c r="M21" s="119"/>
      <c r="N21" s="118">
        <f t="shared" ref="N21:P21" si="19">(N17+N19+N20)*-$E$5</f>
        <v>-184456.14483279292</v>
      </c>
      <c r="O21" s="120"/>
      <c r="P21" s="118">
        <f t="shared" si="19"/>
        <v>-221778.0577058467</v>
      </c>
      <c r="Q21" s="127"/>
      <c r="R21" s="118">
        <f t="shared" ref="R21" si="20">(R17+R19+R20)*-$E$5</f>
        <v>-220456.48566401287</v>
      </c>
      <c r="S21" s="127"/>
      <c r="T21" s="118">
        <f t="shared" ref="T21" si="21">(T17+T19+T20)*-$E$5</f>
        <v>-239321.94470788006</v>
      </c>
      <c r="U21" s="127"/>
      <c r="V21" s="118">
        <f t="shared" ref="V21" si="22">(V17+V19+V20)*-$E$5</f>
        <v>-265226.7960082303</v>
      </c>
      <c r="W21" s="119"/>
      <c r="X21" s="139">
        <f t="shared" ref="X21" si="23">(X17+X19+X20)*-$E$5</f>
        <v>-293445.40748997865</v>
      </c>
      <c r="Y21" s="127"/>
    </row>
    <row r="22" spans="2:25" ht="15.75" customHeight="1" x14ac:dyDescent="0.25">
      <c r="B22" s="50"/>
      <c r="C22" s="71" t="s">
        <v>75</v>
      </c>
      <c r="D22" s="15" t="s">
        <v>26</v>
      </c>
      <c r="E22" s="14" t="s">
        <v>52</v>
      </c>
      <c r="F22" s="118">
        <f>F19+F20+F21</f>
        <v>-106809.90000000001</v>
      </c>
      <c r="G22" s="119"/>
      <c r="H22" s="118">
        <f t="shared" ref="H22" si="24">H19+H20+H21</f>
        <v>-124906.2003264915</v>
      </c>
      <c r="I22" s="119"/>
      <c r="J22" s="118">
        <f t="shared" ref="J22" si="25">J19+J20+J21</f>
        <v>-176201.87993500085</v>
      </c>
      <c r="K22" s="119"/>
      <c r="L22" s="118">
        <f t="shared" ref="L22" si="26">L19+L20+L21</f>
        <v>-191500.09701616509</v>
      </c>
      <c r="M22" s="119"/>
      <c r="N22" s="118">
        <f t="shared" ref="N22:P22" si="27">N19+N20+N21</f>
        <v>-226978.86039011716</v>
      </c>
      <c r="O22" s="120"/>
      <c r="P22" s="118">
        <f t="shared" si="27"/>
        <v>-272904.60203013732</v>
      </c>
      <c r="Q22" s="127"/>
      <c r="R22" s="118">
        <f t="shared" ref="R22" si="28">R19+R20+R21</f>
        <v>-271278.36769540806</v>
      </c>
      <c r="S22" s="127"/>
      <c r="T22" s="118">
        <f t="shared" ref="T22" si="29">T19+T20+T21</f>
        <v>-294492.88515371789</v>
      </c>
      <c r="U22" s="127"/>
      <c r="V22" s="118">
        <f t="shared" ref="V22" si="30">V19+V20+V21</f>
        <v>-326369.58751057868</v>
      </c>
      <c r="W22" s="119"/>
      <c r="X22" s="139">
        <f t="shared" ref="X22" si="31">X19+X20+X21</f>
        <v>-361093.44169133686</v>
      </c>
      <c r="Y22" s="127"/>
    </row>
    <row r="23" spans="2:25" ht="15.75" customHeight="1" x14ac:dyDescent="0.25">
      <c r="B23" s="50"/>
      <c r="C23" s="176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40"/>
      <c r="Q23" s="28"/>
      <c r="R23" s="40"/>
      <c r="S23" s="28"/>
      <c r="T23" s="40"/>
      <c r="U23" s="28"/>
      <c r="V23" s="40"/>
      <c r="W23" s="58"/>
      <c r="X23" s="10"/>
      <c r="Y23" s="28"/>
    </row>
    <row r="24" spans="2:25" ht="27.75" customHeight="1" x14ac:dyDescent="0.25">
      <c r="B24" s="50"/>
      <c r="C24" s="71" t="s">
        <v>76</v>
      </c>
      <c r="D24" s="15" t="s">
        <v>27</v>
      </c>
      <c r="E24" s="5" t="s">
        <v>58</v>
      </c>
      <c r="F24" s="118">
        <f>F15+F22</f>
        <v>7293190.0999999996</v>
      </c>
      <c r="G24" s="119"/>
      <c r="H24" s="118">
        <f>H15+H22</f>
        <v>12929904.078673508</v>
      </c>
      <c r="I24" s="119"/>
      <c r="J24" s="118">
        <f>J15+J22</f>
        <v>15598281.096046679</v>
      </c>
      <c r="K24" s="119"/>
      <c r="L24" s="118">
        <f>L15+L22</f>
        <v>15406780.999030514</v>
      </c>
      <c r="M24" s="119"/>
      <c r="N24" s="118">
        <f>N15+N22</f>
        <v>21342514.538252603</v>
      </c>
      <c r="O24" s="120"/>
      <c r="P24" s="118">
        <f>P15+P22</f>
        <v>23506883.455779448</v>
      </c>
      <c r="Q24" s="119"/>
      <c r="R24" s="118">
        <f>R15+R22</f>
        <v>20414779.073390506</v>
      </c>
      <c r="S24" s="119"/>
      <c r="T24" s="118">
        <f>T15+T22</f>
        <v>27265458.863923464</v>
      </c>
      <c r="U24" s="119"/>
      <c r="V24" s="118">
        <f>V15+V22</f>
        <v>25575816.333216712</v>
      </c>
      <c r="W24" s="119"/>
      <c r="X24" s="139">
        <f>X15+X22</f>
        <v>32887467.791490391</v>
      </c>
      <c r="Y24" s="127"/>
    </row>
    <row r="25" spans="2:25" ht="45" x14ac:dyDescent="0.25">
      <c r="B25" s="50"/>
      <c r="C25" s="71" t="s">
        <v>61</v>
      </c>
      <c r="D25" s="15" t="s">
        <v>28</v>
      </c>
      <c r="E25" s="14"/>
      <c r="F25" s="118" t="s">
        <v>79</v>
      </c>
      <c r="G25" s="119"/>
      <c r="H25" s="118" t="s">
        <v>79</v>
      </c>
      <c r="I25" s="119"/>
      <c r="J25" s="118" t="s">
        <v>79</v>
      </c>
      <c r="K25" s="119"/>
      <c r="L25" s="118" t="s">
        <v>79</v>
      </c>
      <c r="M25" s="119"/>
      <c r="N25" s="118">
        <f>MAX(N24,F13)</f>
        <v>21342514.538252603</v>
      </c>
      <c r="O25" s="119"/>
      <c r="P25" s="118" t="s">
        <v>79</v>
      </c>
      <c r="Q25" s="119"/>
      <c r="R25" s="118" t="s">
        <v>79</v>
      </c>
      <c r="S25" s="119"/>
      <c r="T25" s="118" t="s">
        <v>79</v>
      </c>
      <c r="U25" s="119"/>
      <c r="V25" s="118" t="s">
        <v>79</v>
      </c>
      <c r="W25" s="119"/>
      <c r="X25" s="139">
        <f>MAX(X24,P13)</f>
        <v>32887467.791490391</v>
      </c>
      <c r="Y25" s="127"/>
    </row>
    <row r="26" spans="2:25" ht="15.75" customHeight="1" x14ac:dyDescent="0.25">
      <c r="B26" s="50"/>
      <c r="C26" s="72" t="s">
        <v>71</v>
      </c>
      <c r="D26" s="15" t="s">
        <v>42</v>
      </c>
      <c r="E26" s="9" t="s">
        <v>60</v>
      </c>
      <c r="F26" s="138">
        <v>0</v>
      </c>
      <c r="G26" s="139"/>
      <c r="H26" s="138">
        <v>0</v>
      </c>
      <c r="I26" s="139"/>
      <c r="J26" s="138">
        <v>0</v>
      </c>
      <c r="K26" s="139"/>
      <c r="L26" s="118">
        <v>0</v>
      </c>
      <c r="M26" s="119"/>
      <c r="N26" s="118">
        <f>(F13*(1+$E$8)^5)</f>
        <v>18020324.70703125</v>
      </c>
      <c r="O26" s="119"/>
      <c r="P26" s="118">
        <v>0</v>
      </c>
      <c r="Q26" s="119"/>
      <c r="R26" s="118">
        <v>0</v>
      </c>
      <c r="S26" s="119"/>
      <c r="T26" s="118">
        <v>0</v>
      </c>
      <c r="U26" s="119"/>
      <c r="V26" s="118">
        <v>0</v>
      </c>
      <c r="W26" s="119"/>
      <c r="X26" s="139">
        <f>(P13*(1+$E$8)^5)</f>
        <v>37262565.414444581</v>
      </c>
      <c r="Y26" s="127"/>
    </row>
    <row r="27" spans="2:25" ht="15.75" customHeight="1" x14ac:dyDescent="0.25">
      <c r="B27" s="50"/>
      <c r="C27" s="72"/>
      <c r="D27" s="15"/>
      <c r="E27" s="16"/>
      <c r="F27" s="118"/>
      <c r="G27" s="119"/>
      <c r="H27" s="134"/>
      <c r="I27" s="135"/>
      <c r="J27" s="134"/>
      <c r="K27" s="135"/>
      <c r="L27" s="134"/>
      <c r="M27" s="135"/>
      <c r="N27" s="134"/>
      <c r="O27" s="136"/>
      <c r="P27" s="167"/>
      <c r="Q27" s="167"/>
      <c r="R27" s="167"/>
      <c r="S27" s="167"/>
      <c r="T27" s="167"/>
      <c r="U27" s="167"/>
      <c r="V27" s="167"/>
      <c r="W27" s="167"/>
      <c r="X27" s="136"/>
      <c r="Y27" s="137"/>
    </row>
    <row r="28" spans="2:25" ht="15.75" customHeight="1" x14ac:dyDescent="0.25">
      <c r="B28" s="50"/>
      <c r="C28" s="71" t="s">
        <v>72</v>
      </c>
      <c r="D28" s="15" t="s">
        <v>43</v>
      </c>
      <c r="E28" s="14"/>
      <c r="F28" s="118">
        <f>IF((F13+F26)-F15&gt;0,0,((F13+F26)-F15))</f>
        <v>0</v>
      </c>
      <c r="G28" s="119"/>
      <c r="H28" s="118">
        <f>IF((H13+H26)-H15&gt;0,0,H15-MIN(F25,H15))</f>
        <v>0</v>
      </c>
      <c r="I28" s="119"/>
      <c r="J28" s="118">
        <f>IF((J13+J26)-J15&gt;0,0,J15-MIN(H25,J15))</f>
        <v>0</v>
      </c>
      <c r="K28" s="119"/>
      <c r="L28" s="118">
        <f>IF((L13+L26)-L15&gt;0,0,L15-MIN(J25,L15))</f>
        <v>0</v>
      </c>
      <c r="M28" s="119"/>
      <c r="N28" s="118">
        <f>MAX(0,(N24-N26))</f>
        <v>3322189.8312213533</v>
      </c>
      <c r="O28" s="120"/>
      <c r="P28" s="118">
        <v>0</v>
      </c>
      <c r="Q28" s="119"/>
      <c r="R28" s="118">
        <f>IF((R13+R26)-R15&gt;0,0,R15-MIN(P25,R15))</f>
        <v>0</v>
      </c>
      <c r="S28" s="119"/>
      <c r="T28" s="118">
        <f>IF((T13+T26)-T15&gt;0,0,T15-MIN(R25,T15))</f>
        <v>0</v>
      </c>
      <c r="U28" s="119"/>
      <c r="V28" s="118">
        <f>IF((V13+V26)-V15&gt;0,0,V15-MIN(T25,V15))</f>
        <v>0</v>
      </c>
      <c r="W28" s="119"/>
      <c r="X28" s="139">
        <f>MAX(0,(X24-X26))</f>
        <v>0</v>
      </c>
      <c r="Y28" s="127"/>
    </row>
    <row r="29" spans="2:25" ht="15.75" customHeight="1" x14ac:dyDescent="0.25">
      <c r="B29" s="50"/>
      <c r="C29" s="72" t="s">
        <v>70</v>
      </c>
      <c r="D29" s="15" t="s">
        <v>44</v>
      </c>
      <c r="E29" s="16"/>
      <c r="F29" s="118">
        <f>IF(F28&gt;0,F28*$E$7,0)</f>
        <v>0</v>
      </c>
      <c r="G29" s="119"/>
      <c r="H29" s="118">
        <v>0</v>
      </c>
      <c r="I29" s="119"/>
      <c r="J29" s="118">
        <f>IF(J28&gt;0,J28*$E$7,0)</f>
        <v>0</v>
      </c>
      <c r="K29" s="119"/>
      <c r="L29" s="118">
        <f>IF(L28&gt;0,L28*$E$7,0)</f>
        <v>0</v>
      </c>
      <c r="M29" s="119"/>
      <c r="N29" s="118">
        <f>IF(N28&gt;0,N28*$E$7,0)</f>
        <v>664437.96624427068</v>
      </c>
      <c r="O29" s="120"/>
      <c r="P29" s="118">
        <f>IF(P28&gt;0,P28*$E$7,0)</f>
        <v>0</v>
      </c>
      <c r="Q29" s="119"/>
      <c r="R29" s="118">
        <f>IF(R28&gt;0,R28*$E$7,0)</f>
        <v>0</v>
      </c>
      <c r="S29" s="119"/>
      <c r="T29" s="118">
        <f>IF(T28&gt;0,T28*$E$7,0)</f>
        <v>0</v>
      </c>
      <c r="U29" s="119"/>
      <c r="V29" s="118">
        <f>IF(V28&gt;0,V28*$E$7,0)</f>
        <v>0</v>
      </c>
      <c r="W29" s="119"/>
      <c r="X29" s="139">
        <f>IF(X28&gt;0,X28*$E$7,0)</f>
        <v>0</v>
      </c>
      <c r="Y29" s="127"/>
    </row>
    <row r="30" spans="2:25" x14ac:dyDescent="0.25">
      <c r="B30" s="50"/>
      <c r="C30" s="72" t="s">
        <v>69</v>
      </c>
      <c r="D30" s="15" t="s">
        <v>45</v>
      </c>
      <c r="E30" s="16"/>
      <c r="F30" s="140" t="str">
        <f>F31</f>
        <v>No</v>
      </c>
      <c r="G30" s="119"/>
      <c r="H30" s="140" t="str">
        <f>H31</f>
        <v>No</v>
      </c>
      <c r="I30" s="119"/>
      <c r="J30" s="140" t="str">
        <f>J31</f>
        <v>No</v>
      </c>
      <c r="K30" s="119"/>
      <c r="L30" s="140" t="str">
        <f>L31</f>
        <v>No</v>
      </c>
      <c r="M30" s="119"/>
      <c r="N30" s="118">
        <f>N29</f>
        <v>664437.96624427068</v>
      </c>
      <c r="O30" s="145"/>
      <c r="P30" s="140" t="str">
        <f>P31</f>
        <v>No</v>
      </c>
      <c r="Q30" s="119"/>
      <c r="R30" s="140" t="str">
        <f>R31</f>
        <v>No</v>
      </c>
      <c r="S30" s="119"/>
      <c r="T30" s="140" t="str">
        <f>T31</f>
        <v>No</v>
      </c>
      <c r="U30" s="119"/>
      <c r="V30" s="140" t="str">
        <f>V31</f>
        <v>No</v>
      </c>
      <c r="W30" s="119"/>
      <c r="X30" s="140" t="str">
        <f>X31</f>
        <v>No</v>
      </c>
      <c r="Y30" s="119"/>
    </row>
    <row r="31" spans="2:25" ht="15.75" customHeight="1" x14ac:dyDescent="0.25">
      <c r="B31" s="50"/>
      <c r="C31" s="71" t="s">
        <v>68</v>
      </c>
      <c r="D31" s="15" t="s">
        <v>46</v>
      </c>
      <c r="E31" s="14"/>
      <c r="F31" s="118" t="str">
        <f>IF(F29&gt;0,"Yes","No")</f>
        <v>No</v>
      </c>
      <c r="G31" s="119"/>
      <c r="H31" s="118" t="str">
        <f>IF(H29&gt;0,"Yes","No")</f>
        <v>No</v>
      </c>
      <c r="I31" s="119"/>
      <c r="J31" s="118" t="str">
        <f>IF(J29&gt;0,"Yes","No")</f>
        <v>No</v>
      </c>
      <c r="K31" s="119"/>
      <c r="L31" s="118" t="str">
        <f>IF(L29&gt;0,"Yes","No")</f>
        <v>No</v>
      </c>
      <c r="M31" s="119"/>
      <c r="N31" s="118" t="str">
        <f>IF(N29&gt;0,"Yes","No")</f>
        <v>Yes</v>
      </c>
      <c r="O31" s="120"/>
      <c r="P31" s="118" t="str">
        <f>IF(P29&gt;0,"Yes","No")</f>
        <v>No</v>
      </c>
      <c r="Q31" s="119"/>
      <c r="R31" s="118" t="str">
        <f>IF(R29&gt;0,"Yes","No")</f>
        <v>No</v>
      </c>
      <c r="S31" s="119"/>
      <c r="T31" s="118" t="str">
        <f>IF(T29&gt;0,"Yes","No")</f>
        <v>No</v>
      </c>
      <c r="U31" s="119"/>
      <c r="V31" s="118" t="str">
        <f>IF(V29&gt;0,"Yes","No")</f>
        <v>No</v>
      </c>
      <c r="W31" s="119"/>
      <c r="X31" s="139" t="str">
        <f>IF(X29&gt;0,"Yes","No")</f>
        <v>No</v>
      </c>
      <c r="Y31" s="119"/>
    </row>
    <row r="32" spans="2:25" ht="15.75" customHeight="1" x14ac:dyDescent="0.25">
      <c r="B32" s="50"/>
      <c r="C32" s="17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0"/>
      <c r="Q32" s="10"/>
      <c r="R32" s="10"/>
      <c r="S32" s="10"/>
      <c r="T32" s="10"/>
      <c r="U32" s="10"/>
      <c r="V32" s="10"/>
      <c r="W32" s="10"/>
      <c r="X32" s="10"/>
      <c r="Y32" s="28"/>
    </row>
    <row r="33" spans="2:25" ht="33" customHeight="1" x14ac:dyDescent="0.25">
      <c r="B33" s="51"/>
      <c r="C33" s="71" t="s">
        <v>47</v>
      </c>
      <c r="D33" s="15" t="s">
        <v>62</v>
      </c>
      <c r="E33" s="14"/>
      <c r="F33" s="118">
        <f>F24-F29</f>
        <v>7293190.0999999996</v>
      </c>
      <c r="G33" s="141"/>
      <c r="H33" s="118">
        <f>H24-H29</f>
        <v>12929904.078673508</v>
      </c>
      <c r="I33" s="141"/>
      <c r="J33" s="118">
        <f>J24-J29</f>
        <v>15598281.096046679</v>
      </c>
      <c r="K33" s="141"/>
      <c r="L33" s="118">
        <f>L24-L29</f>
        <v>15406780.999030514</v>
      </c>
      <c r="M33" s="141"/>
      <c r="N33" s="118">
        <f>N24-N29</f>
        <v>20678076.572008334</v>
      </c>
      <c r="O33" s="145"/>
      <c r="P33" s="118">
        <f>P24-P29</f>
        <v>23506883.455779448</v>
      </c>
      <c r="Q33" s="141"/>
      <c r="R33" s="118">
        <f>R24-R29</f>
        <v>20414779.073390506</v>
      </c>
      <c r="S33" s="141"/>
      <c r="T33" s="118">
        <f>T24-T29</f>
        <v>27265458.863923464</v>
      </c>
      <c r="U33" s="141"/>
      <c r="V33" s="118">
        <f>V24-V29</f>
        <v>25575816.333216712</v>
      </c>
      <c r="W33" s="141"/>
      <c r="X33" s="139">
        <f>X24-X29</f>
        <v>32887467.791490391</v>
      </c>
      <c r="Y33" s="141"/>
    </row>
    <row r="34" spans="2:25" ht="29.25" customHeight="1" x14ac:dyDescent="0.25">
      <c r="B34" s="51"/>
      <c r="C34" s="71" t="s">
        <v>10</v>
      </c>
      <c r="D34" s="15" t="s">
        <v>67</v>
      </c>
      <c r="E34" s="14"/>
      <c r="F34" s="143">
        <f>(F33-F13)/F13</f>
        <v>-0.27068099000000001</v>
      </c>
      <c r="G34" s="119"/>
      <c r="H34" s="143">
        <f t="shared" ref="H34" si="32">(H33-H13)/H13</f>
        <v>0.77287358500000003</v>
      </c>
      <c r="I34" s="119"/>
      <c r="J34" s="143">
        <f>(J33-J13)/J13</f>
        <v>0.20637253</v>
      </c>
      <c r="K34" s="119"/>
      <c r="L34" s="143">
        <f t="shared" ref="L34" si="33">(L33-L13)/L13</f>
        <v>-1.2276999999999998E-2</v>
      </c>
      <c r="M34" s="119"/>
      <c r="N34" s="143">
        <f t="shared" ref="N34" si="34">(N33-N13)/N13</f>
        <v>0.3421412671024221</v>
      </c>
      <c r="O34" s="120"/>
      <c r="P34" s="143">
        <f>(P33-P13)/P13</f>
        <v>0.13680222500000006</v>
      </c>
      <c r="Q34" s="144"/>
      <c r="R34" s="143">
        <f>(R33-R13)/R13</f>
        <v>-0.13154038000000001</v>
      </c>
      <c r="S34" s="144"/>
      <c r="T34" s="143">
        <f>(T33-T13)/T13</f>
        <v>0.3355745249999999</v>
      </c>
      <c r="U34" s="144"/>
      <c r="V34" s="143">
        <f>(V33-V13)/V13</f>
        <v>-6.1970075000000006E-2</v>
      </c>
      <c r="W34" s="172"/>
      <c r="X34" s="170">
        <f>(X33-X13)/X13</f>
        <v>0.28588145000000009</v>
      </c>
      <c r="Y34" s="144"/>
    </row>
    <row r="35" spans="2:25" ht="15.75" customHeight="1" x14ac:dyDescent="0.25">
      <c r="B35" s="51"/>
      <c r="C35" s="176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0"/>
      <c r="P35" s="61"/>
      <c r="Q35" s="62"/>
      <c r="R35" s="61"/>
      <c r="S35" s="62"/>
      <c r="T35" s="61"/>
      <c r="U35" s="62"/>
      <c r="V35" s="61"/>
      <c r="W35" s="63"/>
      <c r="X35" s="10"/>
      <c r="Y35" s="28"/>
    </row>
    <row r="36" spans="2:25" ht="30.75" thickBot="1" x14ac:dyDescent="0.3">
      <c r="B36" s="51"/>
      <c r="C36" s="73" t="s">
        <v>91</v>
      </c>
      <c r="D36" s="74" t="s">
        <v>66</v>
      </c>
      <c r="E36" s="75"/>
      <c r="F36" s="162" t="s">
        <v>79</v>
      </c>
      <c r="G36" s="163"/>
      <c r="H36" s="162" t="s">
        <v>79</v>
      </c>
      <c r="I36" s="163"/>
      <c r="J36" s="162" t="s">
        <v>79</v>
      </c>
      <c r="K36" s="163"/>
      <c r="L36" s="162" t="s">
        <v>79</v>
      </c>
      <c r="M36" s="163"/>
      <c r="N36" s="162">
        <f>MAX(N33,F13)</f>
        <v>20678076.572008334</v>
      </c>
      <c r="O36" s="177"/>
      <c r="P36" s="162" t="s">
        <v>79</v>
      </c>
      <c r="Q36" s="163"/>
      <c r="R36" s="162" t="s">
        <v>79</v>
      </c>
      <c r="S36" s="163"/>
      <c r="T36" s="162" t="s">
        <v>79</v>
      </c>
      <c r="U36" s="163"/>
      <c r="V36" s="162" t="s">
        <v>79</v>
      </c>
      <c r="W36" s="163"/>
      <c r="X36" s="162">
        <f>MAX(X33,P13)</f>
        <v>32887467.791490391</v>
      </c>
      <c r="Y36" s="171"/>
    </row>
    <row r="37" spans="2:25" ht="15.75" customHeight="1" thickBot="1" x14ac:dyDescent="0.3">
      <c r="B37" s="52" t="s">
        <v>83</v>
      </c>
      <c r="C37" s="173" t="s">
        <v>90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5"/>
    </row>
    <row r="38" spans="2:25" ht="27" customHeight="1" thickBot="1" x14ac:dyDescent="0.3">
      <c r="B38" s="24">
        <v>1</v>
      </c>
      <c r="C38" s="157" t="s">
        <v>81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9"/>
    </row>
    <row r="39" spans="2:25" ht="15.75" customHeight="1" thickBot="1" x14ac:dyDescent="0.3">
      <c r="B39" s="24">
        <f t="shared" ref="B39:B42" si="35">+B38+1</f>
        <v>2</v>
      </c>
      <c r="C39" s="146" t="s">
        <v>82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</row>
    <row r="40" spans="2:25" ht="15.75" customHeight="1" thickBot="1" x14ac:dyDescent="0.3">
      <c r="B40" s="24">
        <f t="shared" si="35"/>
        <v>3</v>
      </c>
      <c r="C40" s="146" t="s">
        <v>53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8"/>
    </row>
    <row r="41" spans="2:25" ht="15.75" customHeight="1" thickBot="1" x14ac:dyDescent="0.3">
      <c r="B41" s="24">
        <f t="shared" si="35"/>
        <v>4</v>
      </c>
      <c r="C41" s="146" t="s">
        <v>77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8"/>
    </row>
    <row r="42" spans="2:25" ht="15.75" customHeight="1" thickBot="1" x14ac:dyDescent="0.3">
      <c r="B42" s="24">
        <f t="shared" si="35"/>
        <v>5</v>
      </c>
      <c r="C42" s="146" t="s">
        <v>54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8"/>
    </row>
    <row r="43" spans="2:25" ht="15.75" customHeight="1" thickBot="1" x14ac:dyDescent="0.3">
      <c r="B43" s="24">
        <v>6</v>
      </c>
      <c r="C43" s="149" t="s">
        <v>97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1"/>
    </row>
  </sheetData>
  <mergeCells count="220">
    <mergeCell ref="C11:E12"/>
    <mergeCell ref="F11:G11"/>
    <mergeCell ref="H11:I11"/>
    <mergeCell ref="J11:K11"/>
    <mergeCell ref="L11:M11"/>
    <mergeCell ref="N11:O11"/>
    <mergeCell ref="P15:Q15"/>
    <mergeCell ref="F14:G14"/>
    <mergeCell ref="H14:I14"/>
    <mergeCell ref="J14:K14"/>
    <mergeCell ref="L14:M14"/>
    <mergeCell ref="N14:O14"/>
    <mergeCell ref="P14:Q14"/>
    <mergeCell ref="P11:Q11"/>
    <mergeCell ref="F13:G13"/>
    <mergeCell ref="H13:I13"/>
    <mergeCell ref="J13:K13"/>
    <mergeCell ref="L13:M13"/>
    <mergeCell ref="N13:O13"/>
    <mergeCell ref="P13:Q13"/>
    <mergeCell ref="C16:O16"/>
    <mergeCell ref="F17:G17"/>
    <mergeCell ref="H17:I17"/>
    <mergeCell ref="J17:K17"/>
    <mergeCell ref="L17:M17"/>
    <mergeCell ref="N17:O17"/>
    <mergeCell ref="F15:G15"/>
    <mergeCell ref="H15:I15"/>
    <mergeCell ref="J15:K15"/>
    <mergeCell ref="L15:M15"/>
    <mergeCell ref="N15:O15"/>
    <mergeCell ref="P17:Q17"/>
    <mergeCell ref="C18:K18"/>
    <mergeCell ref="L18:M18"/>
    <mergeCell ref="N18:O18"/>
    <mergeCell ref="P18:Q18"/>
    <mergeCell ref="F19:G19"/>
    <mergeCell ref="H19:I19"/>
    <mergeCell ref="J19:K19"/>
    <mergeCell ref="L19:M19"/>
    <mergeCell ref="N19:O19"/>
    <mergeCell ref="P22:Q22"/>
    <mergeCell ref="F21:G21"/>
    <mergeCell ref="H21:I21"/>
    <mergeCell ref="J21:K21"/>
    <mergeCell ref="L21:M21"/>
    <mergeCell ref="N21:O21"/>
    <mergeCell ref="P21:Q21"/>
    <mergeCell ref="P19:Q19"/>
    <mergeCell ref="F20:G20"/>
    <mergeCell ref="H20:I20"/>
    <mergeCell ref="J20:K20"/>
    <mergeCell ref="L20:M20"/>
    <mergeCell ref="N20:O20"/>
    <mergeCell ref="P20:Q20"/>
    <mergeCell ref="C23:O23"/>
    <mergeCell ref="F24:G24"/>
    <mergeCell ref="H24:I24"/>
    <mergeCell ref="J24:K24"/>
    <mergeCell ref="L24:M24"/>
    <mergeCell ref="N24:O24"/>
    <mergeCell ref="F22:G22"/>
    <mergeCell ref="H22:I22"/>
    <mergeCell ref="J22:K22"/>
    <mergeCell ref="L22:M22"/>
    <mergeCell ref="N22:O22"/>
    <mergeCell ref="F26:G26"/>
    <mergeCell ref="H26:I26"/>
    <mergeCell ref="J26:K26"/>
    <mergeCell ref="L26:M26"/>
    <mergeCell ref="N26:O26"/>
    <mergeCell ref="P26:Q26"/>
    <mergeCell ref="P24:Q24"/>
    <mergeCell ref="F25:G25"/>
    <mergeCell ref="H25:I25"/>
    <mergeCell ref="J25:K25"/>
    <mergeCell ref="L25:M25"/>
    <mergeCell ref="N25:O25"/>
    <mergeCell ref="P25:Q25"/>
    <mergeCell ref="F28:G28"/>
    <mergeCell ref="H28:I28"/>
    <mergeCell ref="J28:K28"/>
    <mergeCell ref="L28:M28"/>
    <mergeCell ref="N28:O28"/>
    <mergeCell ref="P28:Q28"/>
    <mergeCell ref="F27:G27"/>
    <mergeCell ref="H27:I27"/>
    <mergeCell ref="J27:K27"/>
    <mergeCell ref="L27:M27"/>
    <mergeCell ref="N27:O27"/>
    <mergeCell ref="P27:Q27"/>
    <mergeCell ref="P31:Q31"/>
    <mergeCell ref="F30:G30"/>
    <mergeCell ref="H30:I30"/>
    <mergeCell ref="J30:K30"/>
    <mergeCell ref="L30:M30"/>
    <mergeCell ref="N30:O30"/>
    <mergeCell ref="P30:Q30"/>
    <mergeCell ref="F29:G29"/>
    <mergeCell ref="H29:I29"/>
    <mergeCell ref="J29:K29"/>
    <mergeCell ref="L29:M29"/>
    <mergeCell ref="N29:O29"/>
    <mergeCell ref="P29:Q29"/>
    <mergeCell ref="C32:O32"/>
    <mergeCell ref="F33:G33"/>
    <mergeCell ref="H33:I33"/>
    <mergeCell ref="J33:K33"/>
    <mergeCell ref="L33:M33"/>
    <mergeCell ref="N33:O33"/>
    <mergeCell ref="F31:G31"/>
    <mergeCell ref="H31:I31"/>
    <mergeCell ref="J31:K31"/>
    <mergeCell ref="L31:M31"/>
    <mergeCell ref="N31:O31"/>
    <mergeCell ref="J36:K36"/>
    <mergeCell ref="L36:M36"/>
    <mergeCell ref="N36:O36"/>
    <mergeCell ref="P33:Q33"/>
    <mergeCell ref="F34:G34"/>
    <mergeCell ref="H34:I34"/>
    <mergeCell ref="J34:K34"/>
    <mergeCell ref="L34:M34"/>
    <mergeCell ref="N34:O34"/>
    <mergeCell ref="P34:Q34"/>
    <mergeCell ref="R22:S22"/>
    <mergeCell ref="R24:S24"/>
    <mergeCell ref="R25:S25"/>
    <mergeCell ref="R26:S26"/>
    <mergeCell ref="R27:S27"/>
    <mergeCell ref="C42:Q42"/>
    <mergeCell ref="C43:Q43"/>
    <mergeCell ref="R11:S11"/>
    <mergeCell ref="R13:S13"/>
    <mergeCell ref="R14:S14"/>
    <mergeCell ref="R15:S15"/>
    <mergeCell ref="R17:S17"/>
    <mergeCell ref="R18:S18"/>
    <mergeCell ref="R19:S19"/>
    <mergeCell ref="R20:S20"/>
    <mergeCell ref="P36:Q36"/>
    <mergeCell ref="C37:Q37"/>
    <mergeCell ref="C38:Q38"/>
    <mergeCell ref="C39:Q39"/>
    <mergeCell ref="C40:Q40"/>
    <mergeCell ref="C41:Q41"/>
    <mergeCell ref="C35:O35"/>
    <mergeCell ref="F36:G36"/>
    <mergeCell ref="H36:I36"/>
    <mergeCell ref="T36:U36"/>
    <mergeCell ref="T22:U22"/>
    <mergeCell ref="T24:U24"/>
    <mergeCell ref="T25:U25"/>
    <mergeCell ref="T26:U26"/>
    <mergeCell ref="T27:U27"/>
    <mergeCell ref="T28:U28"/>
    <mergeCell ref="R36:S36"/>
    <mergeCell ref="T11:U11"/>
    <mergeCell ref="T13:U13"/>
    <mergeCell ref="T14:U14"/>
    <mergeCell ref="T15:U15"/>
    <mergeCell ref="T17:U17"/>
    <mergeCell ref="T18:U18"/>
    <mergeCell ref="T19:U19"/>
    <mergeCell ref="T20:U20"/>
    <mergeCell ref="T21:U21"/>
    <mergeCell ref="R28:S28"/>
    <mergeCell ref="R29:S29"/>
    <mergeCell ref="R30:S30"/>
    <mergeCell ref="R31:S31"/>
    <mergeCell ref="R33:S33"/>
    <mergeCell ref="R34:S34"/>
    <mergeCell ref="R21:S21"/>
    <mergeCell ref="V14:W14"/>
    <mergeCell ref="V15:W15"/>
    <mergeCell ref="V17:W17"/>
    <mergeCell ref="V18:W18"/>
    <mergeCell ref="T29:U29"/>
    <mergeCell ref="T30:U30"/>
    <mergeCell ref="T31:U31"/>
    <mergeCell ref="T33:U33"/>
    <mergeCell ref="T34:U34"/>
    <mergeCell ref="V33:W33"/>
    <mergeCell ref="V34:W34"/>
    <mergeCell ref="V36:W36"/>
    <mergeCell ref="X11:Y11"/>
    <mergeCell ref="X13:Y13"/>
    <mergeCell ref="X14:Y14"/>
    <mergeCell ref="X15:Y15"/>
    <mergeCell ref="X17:Y17"/>
    <mergeCell ref="X18:Y18"/>
    <mergeCell ref="X19:Y19"/>
    <mergeCell ref="V26:W26"/>
    <mergeCell ref="V27:W27"/>
    <mergeCell ref="V28:W28"/>
    <mergeCell ref="V29:W29"/>
    <mergeCell ref="V30:W30"/>
    <mergeCell ref="V31:W31"/>
    <mergeCell ref="V19:W19"/>
    <mergeCell ref="V20:W20"/>
    <mergeCell ref="V21:W21"/>
    <mergeCell ref="V22:W22"/>
    <mergeCell ref="V24:W24"/>
    <mergeCell ref="V25:W25"/>
    <mergeCell ref="V11:W11"/>
    <mergeCell ref="V13:W13"/>
    <mergeCell ref="X34:Y34"/>
    <mergeCell ref="X36:Y36"/>
    <mergeCell ref="X27:Y27"/>
    <mergeCell ref="X28:Y28"/>
    <mergeCell ref="X29:Y29"/>
    <mergeCell ref="X30:Y30"/>
    <mergeCell ref="X31:Y31"/>
    <mergeCell ref="X33:Y33"/>
    <mergeCell ref="X20:Y20"/>
    <mergeCell ref="X21:Y21"/>
    <mergeCell ref="X22:Y22"/>
    <mergeCell ref="X24:Y24"/>
    <mergeCell ref="X25:Y25"/>
    <mergeCell ref="X26:Y26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2024-07-29 15:39:49</KDate>
  <Classification>SEBI-CONFIDENTIAL</Classification>
  <Subclassification/>
  <HostName>MUM0112331</HostName>
  <Domain_User>SEBINT/2331</Domain_User>
  <IPAdd>10.21.49.40</IPAdd>
  <FilePath>C:\Users\2331\AppData\Local\Microsoft\Windows\INetCache\Content.Outlook\XJTK2SSD\1. APMI Fee Illustration- Final Submission (003).xlsx</FilePath>
  <KID>6C3C8C09D795638578643890464979</KID>
  <UniqueName/>
  <Suggested/>
  <Justification/>
</Klassify>
</file>

<file path=customXml/itemProps1.xml><?xml version="1.0" encoding="utf-8"?>
<ds:datastoreItem xmlns:ds="http://schemas.openxmlformats.org/officeDocument/2006/customXml" ds:itemID="{4129B68D-1CFD-4A3F-B60D-0A6CDAB7AB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Fixed fee-Illustration</vt:lpstr>
      <vt:lpstr>Semi variable fee-Illustration</vt:lpstr>
      <vt:lpstr>Fully variable fee-Illustration</vt:lpstr>
      <vt:lpstr>Semi variable fee-Illustration1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Seven Islands</cp:lastModifiedBy>
  <cp:lastPrinted>2024-07-29T09:59:59Z</cp:lastPrinted>
  <dcterms:created xsi:type="dcterms:W3CDTF">2024-06-06T09:43:50Z</dcterms:created>
  <dcterms:modified xsi:type="dcterms:W3CDTF">2026-03-25T06:47:46Z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6C3C8C09D795638578643890464979</vt:lpwstr>
  </property>
</Properties>
</file>